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gla603_uoa_auckland_ac_nz/Documents/6M Sustainability Consultants/LCI/"/>
    </mc:Choice>
  </mc:AlternateContent>
  <xr:revisionPtr revIDLastSave="284" documentId="13_ncr:1_{3D117669-E880-AA4C-8DF3-5F337931837C}" xr6:coauthVersionLast="47" xr6:coauthVersionMax="47" xr10:uidLastSave="{9BBEFDEE-B379-4F8E-BC24-528E8C3278CE}"/>
  <bookViews>
    <workbookView xWindow="32880" yWindow="-8660" windowWidth="42860" windowHeight="19660" xr2:uid="{C928B100-BAFE-3D45-BE76-651FE682EADD}"/>
  </bookViews>
  <sheets>
    <sheet name="constants" sheetId="3" r:id="rId1"/>
    <sheet name="rescued bread - mass balance" sheetId="2" r:id="rId2"/>
    <sheet name="conventional flour - mass balan" sheetId="4" r:id="rId3"/>
  </sheets>
  <definedNames>
    <definedName name="bread_hydration">constants!$C$29</definedName>
    <definedName name="c_bread">constants!$C$9</definedName>
    <definedName name="dust">constants!#REF!</definedName>
    <definedName name="dust_ratio">constants!#REF!</definedName>
    <definedName name="flour_fraction">constants!$C$17</definedName>
    <definedName name="Hf_water">constants!$C$10:$C$11</definedName>
    <definedName name="op_time">constants!$C$6</definedName>
    <definedName name="other_waste">constants!#REF!</definedName>
    <definedName name="wastage">constants!$C$5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4" l="1"/>
  <c r="G22" i="4"/>
  <c r="G23" i="4"/>
  <c r="G24" i="4"/>
  <c r="G25" i="4"/>
  <c r="G20" i="4"/>
  <c r="F23" i="4"/>
  <c r="F24" i="4"/>
  <c r="F25" i="4"/>
  <c r="F26" i="4"/>
  <c r="F20" i="4"/>
  <c r="E25" i="4"/>
  <c r="E24" i="4"/>
  <c r="E23" i="4"/>
  <c r="E22" i="4"/>
  <c r="D35" i="2"/>
  <c r="H25" i="4"/>
  <c r="F12" i="4"/>
  <c r="G12" i="4"/>
  <c r="H8" i="4"/>
  <c r="H9" i="4"/>
  <c r="H10" i="4"/>
  <c r="F7" i="4"/>
  <c r="H7" i="4" s="1"/>
  <c r="F6" i="4"/>
  <c r="E6" i="4" s="1"/>
  <c r="D9" i="4"/>
  <c r="F8" i="4"/>
  <c r="G9" i="4" s="1"/>
  <c r="G8" i="4"/>
  <c r="L13" i="2"/>
  <c r="G10" i="4"/>
  <c r="M18" i="2"/>
  <c r="N18" i="2" s="1"/>
  <c r="C38" i="3"/>
  <c r="K35" i="2"/>
  <c r="C12" i="3"/>
  <c r="L9" i="3"/>
  <c r="L44" i="2"/>
  <c r="M44" i="2"/>
  <c r="K45" i="2"/>
  <c r="M45" i="2"/>
  <c r="K46" i="2"/>
  <c r="K47" i="2"/>
  <c r="L47" i="2"/>
  <c r="K48" i="2"/>
  <c r="L48" i="2"/>
  <c r="M43" i="2"/>
  <c r="L35" i="2"/>
  <c r="M35" i="2"/>
  <c r="K36" i="2"/>
  <c r="L36" i="2"/>
  <c r="M36" i="2"/>
  <c r="K37" i="2"/>
  <c r="L37" i="2"/>
  <c r="M37" i="2"/>
  <c r="K38" i="2"/>
  <c r="L38" i="2"/>
  <c r="M38" i="2"/>
  <c r="K39" i="2"/>
  <c r="L39" i="2"/>
  <c r="M39" i="2"/>
  <c r="K40" i="2"/>
  <c r="L40" i="2"/>
  <c r="M40" i="2"/>
  <c r="K41" i="2"/>
  <c r="L41" i="2"/>
  <c r="M41" i="2"/>
  <c r="L42" i="2"/>
  <c r="M42" i="2"/>
  <c r="S23" i="2"/>
  <c r="D36" i="2"/>
  <c r="G36" i="2"/>
  <c r="H36" i="2"/>
  <c r="I36" i="2"/>
  <c r="J36" i="2"/>
  <c r="D37" i="2"/>
  <c r="E37" i="2"/>
  <c r="H37" i="2"/>
  <c r="I37" i="2"/>
  <c r="J37" i="2"/>
  <c r="D38" i="2"/>
  <c r="E38" i="2"/>
  <c r="F38" i="2"/>
  <c r="I38" i="2"/>
  <c r="J38" i="2"/>
  <c r="D39" i="2"/>
  <c r="E39" i="2"/>
  <c r="F39" i="2"/>
  <c r="G39" i="2"/>
  <c r="J39" i="2"/>
  <c r="D40" i="2"/>
  <c r="E40" i="2"/>
  <c r="F40" i="2"/>
  <c r="G40" i="2"/>
  <c r="H40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J43" i="2"/>
  <c r="D44" i="2"/>
  <c r="E44" i="2"/>
  <c r="F44" i="2"/>
  <c r="G44" i="2"/>
  <c r="H44" i="2"/>
  <c r="I44" i="2"/>
  <c r="J44" i="2"/>
  <c r="E45" i="2"/>
  <c r="F45" i="2"/>
  <c r="G45" i="2"/>
  <c r="H45" i="2"/>
  <c r="I45" i="2"/>
  <c r="J45" i="2"/>
  <c r="D46" i="2"/>
  <c r="E46" i="2"/>
  <c r="F46" i="2"/>
  <c r="G46" i="2"/>
  <c r="H46" i="2"/>
  <c r="I46" i="2"/>
  <c r="J46" i="2"/>
  <c r="D47" i="2"/>
  <c r="E47" i="2"/>
  <c r="F47" i="2"/>
  <c r="G47" i="2"/>
  <c r="H47" i="2"/>
  <c r="I47" i="2"/>
  <c r="J47" i="2"/>
  <c r="D48" i="2"/>
  <c r="E48" i="2"/>
  <c r="F48" i="2"/>
  <c r="G48" i="2"/>
  <c r="H48" i="2"/>
  <c r="I48" i="2"/>
  <c r="J48" i="2"/>
  <c r="F35" i="2"/>
  <c r="G35" i="2"/>
  <c r="H35" i="2"/>
  <c r="I35" i="2"/>
  <c r="J35" i="2"/>
  <c r="G24" i="2"/>
  <c r="U24" i="2" s="1"/>
  <c r="E24" i="2"/>
  <c r="S24" i="2" s="1"/>
  <c r="H37" i="3"/>
  <c r="H38" i="3"/>
  <c r="H36" i="3"/>
  <c r="K20" i="3"/>
  <c r="K21" i="3"/>
  <c r="K22" i="3"/>
  <c r="K23" i="3"/>
  <c r="K26" i="3"/>
  <c r="K27" i="3"/>
  <c r="K28" i="3"/>
  <c r="K29" i="3"/>
  <c r="K30" i="3"/>
  <c r="K31" i="3"/>
  <c r="K25" i="3"/>
  <c r="L4" i="3"/>
  <c r="L5" i="3"/>
  <c r="L6" i="3"/>
  <c r="L7" i="3"/>
  <c r="L8" i="3"/>
  <c r="L10" i="3"/>
  <c r="L11" i="3"/>
  <c r="L12" i="3"/>
  <c r="L13" i="3"/>
  <c r="L14" i="3"/>
  <c r="C26" i="3"/>
  <c r="C29" i="3" s="1"/>
  <c r="C18" i="3"/>
  <c r="E21" i="4" l="1"/>
  <c r="E5" i="4"/>
  <c r="H6" i="4"/>
  <c r="F22" i="4"/>
  <c r="F21" i="4"/>
  <c r="M48" i="2"/>
  <c r="N48" i="2" s="1"/>
  <c r="C13" i="3"/>
  <c r="C28" i="3"/>
  <c r="M16" i="2"/>
  <c r="M46" i="2" s="1"/>
  <c r="D5" i="4" l="1"/>
  <c r="E20" i="4"/>
  <c r="E12" i="4"/>
  <c r="AA20" i="2"/>
  <c r="AA18" i="2" s="1"/>
  <c r="M17" i="2"/>
  <c r="L16" i="2"/>
  <c r="H5" i="4" l="1"/>
  <c r="H12" i="4" s="1"/>
  <c r="D12" i="4"/>
  <c r="D20" i="4"/>
  <c r="D24" i="4"/>
  <c r="H23" i="4"/>
  <c r="N17" i="2"/>
  <c r="M47" i="2"/>
  <c r="N47" i="2" s="1"/>
  <c r="N16" i="2"/>
  <c r="L46" i="2"/>
  <c r="N46" i="2" s="1"/>
  <c r="M20" i="2"/>
  <c r="AA16" i="2"/>
  <c r="AA17" i="2"/>
  <c r="L43" i="2"/>
  <c r="F27" i="4" l="1"/>
  <c r="H22" i="4"/>
  <c r="H24" i="4"/>
  <c r="G27" i="4"/>
  <c r="K13" i="2"/>
  <c r="J12" i="2" s="1"/>
  <c r="Z20" i="2"/>
  <c r="Z16" i="2" s="1"/>
  <c r="H21" i="4" l="1"/>
  <c r="K14" i="2"/>
  <c r="K12" i="2"/>
  <c r="K43" i="2"/>
  <c r="N43" i="2" s="1"/>
  <c r="N13" i="2"/>
  <c r="L15" i="2"/>
  <c r="L45" i="2" s="1"/>
  <c r="D45" i="2" s="1"/>
  <c r="Z13" i="2"/>
  <c r="E27" i="4" l="1"/>
  <c r="Y20" i="2"/>
  <c r="K42" i="2"/>
  <c r="Z15" i="2"/>
  <c r="R15" i="2" s="1"/>
  <c r="L20" i="2"/>
  <c r="D15" i="2"/>
  <c r="D27" i="4" l="1"/>
  <c r="H20" i="4"/>
  <c r="H27" i="4" s="1"/>
  <c r="J10" i="2"/>
  <c r="J40" i="2" s="1"/>
  <c r="N12" i="2"/>
  <c r="J42" i="2"/>
  <c r="N42" i="2" s="1"/>
  <c r="N45" i="2"/>
  <c r="N15" i="2"/>
  <c r="N14" i="2"/>
  <c r="K44" i="2"/>
  <c r="N44" i="2" s="1"/>
  <c r="K20" i="2"/>
  <c r="Y14" i="2" l="1"/>
  <c r="J11" i="2"/>
  <c r="Y13" i="2"/>
  <c r="J20" i="2" l="1"/>
  <c r="N11" i="2"/>
  <c r="J41" i="2"/>
  <c r="N41" i="2" s="1"/>
  <c r="X20" i="2"/>
  <c r="X10" i="2" s="1"/>
  <c r="I10" i="2"/>
  <c r="N10" i="2" l="1"/>
  <c r="I40" i="2"/>
  <c r="N40" i="2" s="1"/>
  <c r="I9" i="2"/>
  <c r="C6" i="3"/>
  <c r="W20" i="2"/>
  <c r="W10" i="2" s="1"/>
  <c r="X12" i="2"/>
  <c r="X11" i="2"/>
  <c r="C32" i="3" l="1"/>
  <c r="J28" i="2" s="1"/>
  <c r="X28" i="2" s="1"/>
  <c r="M9" i="3"/>
  <c r="M14" i="3"/>
  <c r="M12" i="3"/>
  <c r="M6" i="3"/>
  <c r="M11" i="3"/>
  <c r="M5" i="3"/>
  <c r="C33" i="3"/>
  <c r="M10" i="3"/>
  <c r="M4" i="3"/>
  <c r="M8" i="3"/>
  <c r="H9" i="2"/>
  <c r="W9" i="2"/>
  <c r="I39" i="2"/>
  <c r="M13" i="3"/>
  <c r="M7" i="3"/>
  <c r="J27" i="2" s="1"/>
  <c r="I20" i="2"/>
  <c r="H27" i="2"/>
  <c r="M27" i="2" l="1"/>
  <c r="N9" i="2"/>
  <c r="H39" i="2"/>
  <c r="N39" i="2" s="1"/>
  <c r="H8" i="2"/>
  <c r="V20" i="2"/>
  <c r="V9" i="2" s="1"/>
  <c r="L27" i="2"/>
  <c r="Z27" i="2" s="1"/>
  <c r="X27" i="2"/>
  <c r="I27" i="2"/>
  <c r="K27" i="2"/>
  <c r="Y27" i="2" s="1"/>
  <c r="AA27" i="2"/>
  <c r="W27" i="2" l="1"/>
  <c r="V8" i="2"/>
  <c r="H38" i="2"/>
  <c r="G8" i="2"/>
  <c r="H20" i="2"/>
  <c r="V27" i="2"/>
  <c r="G7" i="2" l="1"/>
  <c r="U20" i="2"/>
  <c r="G38" i="2"/>
  <c r="N38" i="2" s="1"/>
  <c r="G23" i="2"/>
  <c r="U8" i="2"/>
  <c r="N8" i="2"/>
  <c r="G20" i="2"/>
  <c r="G37" i="2" l="1"/>
  <c r="F7" i="2"/>
  <c r="F27" i="2" s="1"/>
  <c r="D27" i="2" s="1"/>
  <c r="U7" i="2"/>
  <c r="U23" i="2"/>
  <c r="T20" i="2" l="1"/>
  <c r="T27" i="2" s="1"/>
  <c r="N7" i="2"/>
  <c r="F37" i="2"/>
  <c r="F6" i="2"/>
  <c r="T7" i="2"/>
  <c r="N37" i="2" l="1"/>
  <c r="F51" i="2"/>
  <c r="T6" i="2"/>
  <c r="E6" i="2"/>
  <c r="F36" i="2"/>
  <c r="F20" i="2"/>
  <c r="N6" i="2" l="1"/>
  <c r="S20" i="2"/>
  <c r="S6" i="2"/>
  <c r="E36" i="2"/>
  <c r="N36" i="2" s="1"/>
  <c r="E23" i="2"/>
  <c r="E5" i="2"/>
  <c r="S5" i="2" l="1"/>
  <c r="E35" i="2"/>
  <c r="D5" i="2"/>
  <c r="E20" i="2"/>
  <c r="N5" i="2" l="1"/>
  <c r="N20" i="2" s="1"/>
  <c r="N35" i="2"/>
  <c r="D20" i="2"/>
  <c r="R20" i="2" s="1"/>
  <c r="R5" i="2" s="1"/>
</calcChain>
</file>

<file path=xl/sharedStrings.xml><?xml version="1.0" encoding="utf-8"?>
<sst xmlns="http://schemas.openxmlformats.org/spreadsheetml/2006/main" count="274" uniqueCount="151">
  <si>
    <t>Overall System</t>
  </si>
  <si>
    <t>Electricity Use</t>
  </si>
  <si>
    <t>Key</t>
  </si>
  <si>
    <t>Calculation Basis</t>
  </si>
  <si>
    <t>kg Rescued Flour (for use)</t>
  </si>
  <si>
    <t>Processing Step</t>
  </si>
  <si>
    <t>Unit Process</t>
  </si>
  <si>
    <t>input power</t>
  </si>
  <si>
    <t>load</t>
  </si>
  <si>
    <t>efficiency</t>
  </si>
  <si>
    <t>Energy Input (from rescued)</t>
  </si>
  <si>
    <t>calculated</t>
  </si>
  <si>
    <t>Electricity Consumption (kWh)</t>
  </si>
  <si>
    <t>Text Description</t>
  </si>
  <si>
    <t>Bread Feed Rate</t>
  </si>
  <si>
    <t>kg/h</t>
  </si>
  <si>
    <t>bread debagging</t>
  </si>
  <si>
    <t>B04</t>
  </si>
  <si>
    <t>Manual Inputs</t>
  </si>
  <si>
    <t>Wasted Bread in Process</t>
  </si>
  <si>
    <t>conveyance: bread to rough milling</t>
  </si>
  <si>
    <t>B05</t>
  </si>
  <si>
    <t>Calculated Values</t>
  </si>
  <si>
    <t>Operating time</t>
  </si>
  <si>
    <t>h</t>
  </si>
  <si>
    <t>rough milling</t>
  </si>
  <si>
    <t>conveyance: rough milling to drying</t>
  </si>
  <si>
    <t>B06</t>
  </si>
  <si>
    <t>Bread Freezing</t>
  </si>
  <si>
    <t>spiral flash dryer</t>
  </si>
  <si>
    <t>Bread specific heat capacity</t>
  </si>
  <si>
    <t>kJ/kg*℃</t>
  </si>
  <si>
    <t>conveyance: fine milling to sieve</t>
  </si>
  <si>
    <t>B08</t>
  </si>
  <si>
    <t>Water heat of fusion</t>
  </si>
  <si>
    <t>kJ/kg</t>
  </si>
  <si>
    <t>sieving</t>
  </si>
  <si>
    <t>Freezer Coefficient of Performance</t>
  </si>
  <si>
    <t>conveyance: sieving to packing</t>
  </si>
  <si>
    <t>B09</t>
  </si>
  <si>
    <t>Freezer temp change</t>
  </si>
  <si>
    <t>℃</t>
  </si>
  <si>
    <t>packing</t>
  </si>
  <si>
    <t>Freezer energy</t>
  </si>
  <si>
    <t>conveyance: packing to weighing/metal detection</t>
  </si>
  <si>
    <t>B10</t>
  </si>
  <si>
    <t>check weighing and metal detection</t>
  </si>
  <si>
    <t>Seiving</t>
  </si>
  <si>
    <t>Flour</t>
  </si>
  <si>
    <t>kg/kg milled bread</t>
  </si>
  <si>
    <t>Transportation</t>
  </si>
  <si>
    <t>Transport Mode Fraction</t>
  </si>
  <si>
    <t>Breadcrumb</t>
  </si>
  <si>
    <t>Travel Location</t>
  </si>
  <si>
    <t>Note</t>
  </si>
  <si>
    <t>Distance (km)</t>
  </si>
  <si>
    <t>Rail</t>
  </si>
  <si>
    <t>Sea</t>
  </si>
  <si>
    <t>Road</t>
  </si>
  <si>
    <t>Rescued Bread</t>
  </si>
  <si>
    <t>Surplus Bread Collection</t>
  </si>
  <si>
    <t>Average Distance (Woolworth Stores to KiwiHarvest)</t>
  </si>
  <si>
    <t>Packaging</t>
  </si>
  <si>
    <t>Surplus Bread Delivery</t>
  </si>
  <si>
    <t>KiwiHarvest (Unit G/Business Parade South, East Tāmaki, Auckland) → The FoodBowl, Māngere, Auckland</t>
  </si>
  <si>
    <t>Paper Sack</t>
  </si>
  <si>
    <t>g/kg flour</t>
  </si>
  <si>
    <t>Processing → Packaging</t>
  </si>
  <si>
    <t>The FoodBowl, Māngere, Auckland → Rescued Limited, Onehunga, Auckland</t>
  </si>
  <si>
    <t>Packaging → Distribution Partner</t>
  </si>
  <si>
    <t>Rescued Limited, Onehunga, Auckland → KiwiHarvest (Unit G/Business Parade South, East Tāmaki, Auckland)</t>
  </si>
  <si>
    <t>Wheat Flour</t>
  </si>
  <si>
    <t>Flash Drying</t>
  </si>
  <si>
    <t>Farm to Brisbane</t>
  </si>
  <si>
    <t>Farm to Sydney</t>
  </si>
  <si>
    <t>Water Removed</t>
  </si>
  <si>
    <t>Farm to Melbourne</t>
  </si>
  <si>
    <t>Dried bread pellets produced</t>
  </si>
  <si>
    <t>Brisbane to Tauranga</t>
  </si>
  <si>
    <t>Bread water removal fraction</t>
  </si>
  <si>
    <t>Sydney to Tauranga</t>
  </si>
  <si>
    <t>Process Heat</t>
  </si>
  <si>
    <t>kW</t>
  </si>
  <si>
    <t>Melbourne to Tauranga</t>
  </si>
  <si>
    <t>Efficiency</t>
  </si>
  <si>
    <t>Tauranga to Auckland</t>
  </si>
  <si>
    <t>Energy Consumption</t>
  </si>
  <si>
    <t>MJ/1000kg</t>
  </si>
  <si>
    <t>kWh/1000kg</t>
  </si>
  <si>
    <t>Wheat Production in Australia</t>
  </si>
  <si>
    <t>Region</t>
  </si>
  <si>
    <t>Percent of national production</t>
  </si>
  <si>
    <t>Fraction in model</t>
  </si>
  <si>
    <t>Port</t>
  </si>
  <si>
    <t>Conventional Wheat Products</t>
  </si>
  <si>
    <t>Victoria</t>
  </si>
  <si>
    <t>Melbourne</t>
  </si>
  <si>
    <t>Queensland</t>
  </si>
  <si>
    <t>Brisbane</t>
  </si>
  <si>
    <t>Byproducts ("wheat bran in model")</t>
  </si>
  <si>
    <t>NSW</t>
  </si>
  <si>
    <t>Sydney</t>
  </si>
  <si>
    <t xml:space="preserve"> </t>
  </si>
  <si>
    <t>Total Mass Flows (kg) - No allocation</t>
  </si>
  <si>
    <t>Note: Final reporting and reference flow is 1.000t, but all masses here are listed in kg.</t>
  </si>
  <si>
    <t>Unit Processes</t>
  </si>
  <si>
    <t>B01</t>
  </si>
  <si>
    <t>B02</t>
  </si>
  <si>
    <t>B03</t>
  </si>
  <si>
    <t>B07</t>
  </si>
  <si>
    <t>Mass</t>
  </si>
  <si>
    <t>Inputs</t>
  </si>
  <si>
    <t>Surplus Bread collection</t>
  </si>
  <si>
    <t>Freezing</t>
  </si>
  <si>
    <t>Bag removal</t>
  </si>
  <si>
    <t>Milling</t>
  </si>
  <si>
    <t>Drying</t>
  </si>
  <si>
    <t>Sieving</t>
  </si>
  <si>
    <t>Bread Flour Packaging</t>
  </si>
  <si>
    <t>Checking and Weighing</t>
  </si>
  <si>
    <t>Outputs</t>
  </si>
  <si>
    <t>Surplus Bread, Packaged</t>
  </si>
  <si>
    <t>Surplus Bread, Consolidated</t>
  </si>
  <si>
    <t>Surplus Bread, Frozen</t>
  </si>
  <si>
    <t>Surplus Bread, Delivered</t>
  </si>
  <si>
    <t>Suprlus Bread, Delivered</t>
  </si>
  <si>
    <t>Rough-milled Rescued Bread</t>
  </si>
  <si>
    <t>Water to Air</t>
  </si>
  <si>
    <t>Dried rescued bread pellets</t>
  </si>
  <si>
    <t>Rescued Flour</t>
  </si>
  <si>
    <t>Breadcrumbs</t>
  </si>
  <si>
    <t>Paper sack</t>
  </si>
  <si>
    <t>Rescued Bread Flour, packaged</t>
  </si>
  <si>
    <t>Rescued Bread Flour, QC rejected</t>
  </si>
  <si>
    <t>Rescued Bread Flour, packaged, saleable</t>
  </si>
  <si>
    <t>Mass Balance Across Process</t>
  </si>
  <si>
    <t>Mass Basis for Unit Process</t>
  </si>
  <si>
    <t>mass transported (kg)</t>
  </si>
  <si>
    <t>distance (km)</t>
  </si>
  <si>
    <t>Energy</t>
  </si>
  <si>
    <t>Electricity</t>
  </si>
  <si>
    <t>Electricity (kWh/kg)</t>
  </si>
  <si>
    <t>Combustion Process Heat (MJ/kg)</t>
  </si>
  <si>
    <t>Total Mass Flows (kg) - With allocation</t>
  </si>
  <si>
    <t>C01</t>
  </si>
  <si>
    <t>C02</t>
  </si>
  <si>
    <t>C03</t>
  </si>
  <si>
    <t>Wheat Grain</t>
  </si>
  <si>
    <t>Wheat Grain (imported)</t>
  </si>
  <si>
    <t>Wheat Bran</t>
  </si>
  <si>
    <t>Packaged Wheat Flour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</si>
</sst>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1"/>
      <color rgb="FF000000"/>
      <name val="Arial"/>
      <family val="2"/>
    </font>
    <font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8"/>
      <color rgb="FF000000"/>
      <name val="Arial"/>
      <family val="2"/>
    </font>
    <font>
      <sz val="12"/>
      <color theme="1"/>
      <name val="Aptos Narrow"/>
      <family val="2"/>
    </font>
    <font>
      <i/>
      <sz val="12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7" applyNumberFormat="0" applyAlignment="0" applyProtection="0"/>
    <xf numFmtId="0" fontId="5" fillId="4" borderId="7" applyNumberFormat="0" applyAlignment="0" applyProtection="0"/>
  </cellStyleXfs>
  <cellXfs count="82">
    <xf numFmtId="0" fontId="0" fillId="0" borderId="0" xfId="0"/>
    <xf numFmtId="0" fontId="2" fillId="0" borderId="0" xfId="0" applyFont="1"/>
    <xf numFmtId="0" fontId="0" fillId="0" borderId="8" xfId="0" applyBorder="1"/>
    <xf numFmtId="2" fontId="0" fillId="0" borderId="8" xfId="0" applyNumberFormat="1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2" fillId="0" borderId="8" xfId="0" applyFont="1" applyBorder="1"/>
    <xf numFmtId="0" fontId="0" fillId="0" borderId="4" xfId="0" applyBorder="1"/>
    <xf numFmtId="0" fontId="5" fillId="4" borderId="11" xfId="1" applyNumberFormat="1" applyFont="1" applyFill="1" applyBorder="1"/>
    <xf numFmtId="0" fontId="0" fillId="0" borderId="6" xfId="0" applyBorder="1"/>
    <xf numFmtId="0" fontId="4" fillId="3" borderId="11" xfId="3" applyBorder="1"/>
    <xf numFmtId="0" fontId="4" fillId="3" borderId="12" xfId="1" applyNumberFormat="1" applyFont="1" applyFill="1" applyBorder="1"/>
    <xf numFmtId="0" fontId="4" fillId="3" borderId="16" xfId="3" applyBorder="1"/>
    <xf numFmtId="0" fontId="4" fillId="3" borderId="7" xfId="3"/>
    <xf numFmtId="10" fontId="4" fillId="3" borderId="7" xfId="3" applyNumberFormat="1"/>
    <xf numFmtId="2" fontId="5" fillId="4" borderId="11" xfId="4" applyNumberFormat="1" applyBorder="1"/>
    <xf numFmtId="0" fontId="5" fillId="4" borderId="7" xfId="4"/>
    <xf numFmtId="0" fontId="5" fillId="4" borderId="11" xfId="4" applyBorder="1"/>
    <xf numFmtId="0" fontId="4" fillId="3" borderId="12" xfId="3" applyBorder="1"/>
    <xf numFmtId="0" fontId="0" fillId="0" borderId="1" xfId="0" applyBorder="1"/>
    <xf numFmtId="0" fontId="4" fillId="3" borderId="17" xfId="3" applyBorder="1"/>
    <xf numFmtId="0" fontId="6" fillId="0" borderId="3" xfId="0" applyFont="1" applyBorder="1"/>
    <xf numFmtId="0" fontId="6" fillId="0" borderId="5" xfId="0" applyFont="1" applyBorder="1"/>
    <xf numFmtId="0" fontId="7" fillId="0" borderId="10" xfId="0" applyFont="1" applyBorder="1"/>
    <xf numFmtId="0" fontId="7" fillId="0" borderId="6" xfId="0" applyFont="1" applyBorder="1"/>
    <xf numFmtId="0" fontId="0" fillId="0" borderId="10" xfId="0" applyBorder="1" applyAlignment="1">
      <alignment wrapText="1"/>
    </xf>
    <xf numFmtId="0" fontId="3" fillId="2" borderId="7" xfId="2" applyBorder="1"/>
    <xf numFmtId="9" fontId="3" fillId="2" borderId="7" xfId="2" applyNumberFormat="1" applyBorder="1"/>
    <xf numFmtId="2" fontId="5" fillId="4" borderId="18" xfId="4" applyNumberFormat="1" applyBorder="1"/>
    <xf numFmtId="0" fontId="3" fillId="2" borderId="11" xfId="2" applyBorder="1"/>
    <xf numFmtId="9" fontId="3" fillId="2" borderId="11" xfId="2" applyNumberFormat="1" applyBorder="1"/>
    <xf numFmtId="2" fontId="5" fillId="4" borderId="19" xfId="4" applyNumberFormat="1" applyBorder="1"/>
    <xf numFmtId="0" fontId="2" fillId="0" borderId="20" xfId="0" applyFont="1" applyBorder="1"/>
    <xf numFmtId="0" fontId="0" fillId="0" borderId="21" xfId="0" applyBorder="1"/>
    <xf numFmtId="0" fontId="4" fillId="3" borderId="22" xfId="3" applyBorder="1"/>
    <xf numFmtId="0" fontId="5" fillId="4" borderId="23" xfId="4" applyBorder="1"/>
    <xf numFmtId="0" fontId="6" fillId="0" borderId="1" xfId="0" applyFont="1" applyBorder="1"/>
    <xf numFmtId="0" fontId="5" fillId="4" borderId="24" xfId="4" applyBorder="1"/>
    <xf numFmtId="0" fontId="5" fillId="4" borderId="18" xfId="4" applyBorder="1"/>
    <xf numFmtId="0" fontId="5" fillId="4" borderId="19" xfId="4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8" fillId="0" borderId="1" xfId="0" applyFont="1" applyBorder="1"/>
    <xf numFmtId="2" fontId="0" fillId="0" borderId="0" xfId="0" applyNumberFormat="1"/>
    <xf numFmtId="164" fontId="0" fillId="0" borderId="8" xfId="0" applyNumberFormat="1" applyBorder="1"/>
    <xf numFmtId="164" fontId="0" fillId="0" borderId="25" xfId="0" applyNumberFormat="1" applyBorder="1"/>
    <xf numFmtId="164" fontId="0" fillId="0" borderId="4" xfId="0" applyNumberFormat="1" applyBorder="1"/>
    <xf numFmtId="0" fontId="9" fillId="0" borderId="9" xfId="0" applyFont="1" applyBorder="1" applyAlignment="1">
      <alignment wrapText="1"/>
    </xf>
    <xf numFmtId="0" fontId="9" fillId="0" borderId="0" xfId="0" applyFont="1" applyAlignment="1">
      <alignment wrapText="1"/>
    </xf>
    <xf numFmtId="0" fontId="4" fillId="3" borderId="28" xfId="3" applyBorder="1"/>
    <xf numFmtId="0" fontId="5" fillId="4" borderId="29" xfId="4" applyBorder="1"/>
    <xf numFmtId="0" fontId="5" fillId="4" borderId="30" xfId="4" applyBorder="1"/>
    <xf numFmtId="0" fontId="10" fillId="0" borderId="2" xfId="0" applyFont="1" applyBorder="1"/>
    <xf numFmtId="0" fontId="5" fillId="4" borderId="8" xfId="4" applyBorder="1"/>
    <xf numFmtId="0" fontId="4" fillId="3" borderId="8" xfId="3" applyBorder="1"/>
    <xf numFmtId="9" fontId="4" fillId="3" borderId="8" xfId="1" applyFont="1" applyFill="1" applyBorder="1"/>
    <xf numFmtId="164" fontId="5" fillId="4" borderId="8" xfId="4" applyNumberFormat="1" applyBorder="1"/>
    <xf numFmtId="0" fontId="5" fillId="4" borderId="31" xfId="4" applyBorder="1"/>
    <xf numFmtId="164" fontId="5" fillId="4" borderId="26" xfId="4" applyNumberFormat="1" applyBorder="1"/>
    <xf numFmtId="0" fontId="11" fillId="0" borderId="9" xfId="0" applyFont="1" applyBorder="1"/>
    <xf numFmtId="0" fontId="2" fillId="0" borderId="25" xfId="0" applyFont="1" applyBorder="1"/>
    <xf numFmtId="164" fontId="0" fillId="0" borderId="0" xfId="0" applyNumberFormat="1"/>
    <xf numFmtId="0" fontId="2" fillId="0" borderId="3" xfId="0" applyFont="1" applyBorder="1"/>
    <xf numFmtId="0" fontId="4" fillId="3" borderId="18" xfId="3" applyBorder="1"/>
    <xf numFmtId="165" fontId="0" fillId="0" borderId="0" xfId="0" applyNumberFormat="1"/>
    <xf numFmtId="164" fontId="0" fillId="0" borderId="10" xfId="0" applyNumberFormat="1" applyBorder="1"/>
    <xf numFmtId="164" fontId="0" fillId="0" borderId="6" xfId="0" applyNumberForma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6" fillId="5" borderId="13" xfId="0" applyFont="1" applyFill="1" applyBorder="1" applyAlignment="1">
      <alignment horizontal="left"/>
    </xf>
    <xf numFmtId="0" fontId="6" fillId="5" borderId="14" xfId="0" applyFont="1" applyFill="1" applyBorder="1" applyAlignment="1">
      <alignment horizontal="left"/>
    </xf>
    <xf numFmtId="0" fontId="6" fillId="5" borderId="15" xfId="0" applyFont="1" applyFill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5">
    <cellStyle name="Calculation" xfId="4" builtinId="22"/>
    <cellStyle name="Input" xfId="3" builtinId="20"/>
    <cellStyle name="Neutral" xfId="2" builtinId="2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64B9A-4BCC-EB46-ABB3-A17AF9D4CE13}">
  <dimension ref="B1:O64"/>
  <sheetViews>
    <sheetView tabSelected="1" workbookViewId="0">
      <selection activeCell="E19" sqref="E19"/>
    </sheetView>
  </sheetViews>
  <sheetFormatPr defaultColWidth="11" defaultRowHeight="15.95"/>
  <cols>
    <col min="2" max="2" width="29.625" bestFit="1" customWidth="1"/>
    <col min="3" max="3" width="17.875" bestFit="1" customWidth="1"/>
    <col min="4" max="4" width="22" bestFit="1" customWidth="1"/>
    <col min="6" max="6" width="32.125" customWidth="1"/>
    <col min="7" max="7" width="44.625" customWidth="1"/>
    <col min="8" max="8" width="12.5" bestFit="1" customWidth="1"/>
    <col min="9" max="9" width="14.875" customWidth="1"/>
    <col min="11" max="11" width="15.5" customWidth="1"/>
    <col min="13" max="13" width="25.125" bestFit="1" customWidth="1"/>
    <col min="15" max="15" width="16.375" customWidth="1"/>
  </cols>
  <sheetData>
    <row r="1" spans="2:15" ht="17.100000000000001" thickBot="1"/>
    <row r="2" spans="2:15" ht="17.100000000000001" thickBot="1">
      <c r="B2" s="74" t="s">
        <v>0</v>
      </c>
      <c r="C2" s="75"/>
      <c r="D2" s="76"/>
      <c r="F2" s="71" t="s">
        <v>1</v>
      </c>
      <c r="G2" s="73"/>
      <c r="H2" s="73"/>
      <c r="I2" s="73"/>
      <c r="J2" s="73"/>
      <c r="K2" s="73"/>
      <c r="L2" s="73"/>
      <c r="M2" s="72"/>
      <c r="O2" s="35" t="s">
        <v>2</v>
      </c>
    </row>
    <row r="3" spans="2:15" ht="17.100000000000001" thickBot="1">
      <c r="B3" s="22" t="s">
        <v>3</v>
      </c>
      <c r="C3" s="23">
        <v>1000</v>
      </c>
      <c r="D3" s="5" t="s">
        <v>4</v>
      </c>
      <c r="F3" s="7" t="s">
        <v>5</v>
      </c>
      <c r="G3" s="8" t="s">
        <v>6</v>
      </c>
      <c r="H3" s="26" t="s">
        <v>7</v>
      </c>
      <c r="I3" s="26" t="s">
        <v>8</v>
      </c>
      <c r="J3" s="26" t="s">
        <v>9</v>
      </c>
      <c r="K3" s="26" t="s">
        <v>10</v>
      </c>
      <c r="L3" s="26" t="s">
        <v>11</v>
      </c>
      <c r="M3" s="27" t="s">
        <v>12</v>
      </c>
      <c r="O3" s="36" t="s">
        <v>13</v>
      </c>
    </row>
    <row r="4" spans="2:15">
      <c r="B4" s="6" t="s">
        <v>14</v>
      </c>
      <c r="C4" s="21">
        <v>160</v>
      </c>
      <c r="D4" s="10" t="s">
        <v>15</v>
      </c>
      <c r="F4" s="6" t="s">
        <v>16</v>
      </c>
      <c r="G4" t="s">
        <v>17</v>
      </c>
      <c r="H4" s="29">
        <v>5</v>
      </c>
      <c r="I4" s="30">
        <v>0.6</v>
      </c>
      <c r="J4" s="30">
        <v>0.9</v>
      </c>
      <c r="K4" s="16">
        <v>3.3</v>
      </c>
      <c r="L4" s="19">
        <f t="shared" ref="L4:L14" si="0">H4*I4*J4</f>
        <v>2.7</v>
      </c>
      <c r="M4" s="31">
        <f t="shared" ref="M4:M14" si="1">K4*op_time</f>
        <v>34.326728038695585</v>
      </c>
      <c r="O4" s="37" t="s">
        <v>18</v>
      </c>
    </row>
    <row r="5" spans="2:15" ht="17.100000000000001" thickBot="1">
      <c r="B5" s="6" t="s">
        <v>19</v>
      </c>
      <c r="C5" s="17">
        <v>2.5000000000000001E-2</v>
      </c>
      <c r="D5" s="10"/>
      <c r="F5" s="6" t="s">
        <v>20</v>
      </c>
      <c r="G5" t="s">
        <v>21</v>
      </c>
      <c r="H5" s="29">
        <v>0.75</v>
      </c>
      <c r="I5" s="30">
        <v>0.4</v>
      </c>
      <c r="J5" s="30">
        <v>0.8</v>
      </c>
      <c r="K5" s="16">
        <v>0.38</v>
      </c>
      <c r="L5" s="19">
        <f t="shared" si="0"/>
        <v>0.24000000000000005</v>
      </c>
      <c r="M5" s="31">
        <f t="shared" si="1"/>
        <v>3.9527747438497949</v>
      </c>
      <c r="O5" s="38" t="s">
        <v>22</v>
      </c>
    </row>
    <row r="6" spans="2:15" ht="17.100000000000001" thickBot="1">
      <c r="B6" s="7" t="s">
        <v>23</v>
      </c>
      <c r="C6" s="18">
        <f>'rescued bread - mass balance'!I10/C4</f>
        <v>10.402038799604723</v>
      </c>
      <c r="D6" s="12" t="s">
        <v>24</v>
      </c>
      <c r="F6" s="6" t="s">
        <v>25</v>
      </c>
      <c r="G6" t="s">
        <v>21</v>
      </c>
      <c r="H6" s="29">
        <v>5</v>
      </c>
      <c r="I6" s="30">
        <v>0.7</v>
      </c>
      <c r="J6" s="30">
        <v>0.9</v>
      </c>
      <c r="K6" s="16">
        <v>3.9</v>
      </c>
      <c r="L6" s="19">
        <f t="shared" si="0"/>
        <v>3.15</v>
      </c>
      <c r="M6" s="31">
        <f t="shared" si="1"/>
        <v>40.56795131845842</v>
      </c>
    </row>
    <row r="7" spans="2:15" ht="17.100000000000001" thickBot="1">
      <c r="F7" s="6" t="s">
        <v>26</v>
      </c>
      <c r="G7" t="s">
        <v>27</v>
      </c>
      <c r="H7" s="29">
        <v>0.75</v>
      </c>
      <c r="I7" s="30">
        <v>0.4</v>
      </c>
      <c r="J7" s="30">
        <v>0.8</v>
      </c>
      <c r="K7" s="16">
        <v>0.38</v>
      </c>
      <c r="L7" s="19">
        <f t="shared" si="0"/>
        <v>0.24000000000000005</v>
      </c>
      <c r="M7" s="31">
        <f t="shared" si="1"/>
        <v>3.9527747438497949</v>
      </c>
    </row>
    <row r="8" spans="2:15" ht="17.100000000000001" thickBot="1">
      <c r="B8" s="74" t="s">
        <v>28</v>
      </c>
      <c r="C8" s="75"/>
      <c r="D8" s="76"/>
      <c r="F8" s="6" t="s">
        <v>29</v>
      </c>
      <c r="G8" t="s">
        <v>27</v>
      </c>
      <c r="H8" s="29">
        <v>6.5</v>
      </c>
      <c r="I8" s="30">
        <v>1</v>
      </c>
      <c r="J8" s="30">
        <v>1</v>
      </c>
      <c r="K8" s="16">
        <v>6.5</v>
      </c>
      <c r="L8" s="19">
        <f t="shared" si="0"/>
        <v>6.5</v>
      </c>
      <c r="M8" s="31">
        <f t="shared" si="1"/>
        <v>67.613252197430697</v>
      </c>
    </row>
    <row r="9" spans="2:15">
      <c r="B9" s="22" t="s">
        <v>30</v>
      </c>
      <c r="C9" s="23">
        <v>2.72</v>
      </c>
      <c r="D9" s="56" t="s">
        <v>31</v>
      </c>
      <c r="F9" s="6" t="s">
        <v>32</v>
      </c>
      <c r="G9" t="s">
        <v>33</v>
      </c>
      <c r="H9" s="29">
        <v>0.5</v>
      </c>
      <c r="I9" s="30">
        <v>0.4</v>
      </c>
      <c r="J9" s="30">
        <v>0.5</v>
      </c>
      <c r="K9" s="16">
        <v>0.25</v>
      </c>
      <c r="L9" s="19">
        <f t="shared" si="0"/>
        <v>0.1</v>
      </c>
      <c r="M9" s="31">
        <f t="shared" si="1"/>
        <v>2.6005096999011807</v>
      </c>
    </row>
    <row r="10" spans="2:15">
      <c r="B10" s="6" t="s">
        <v>34</v>
      </c>
      <c r="C10" s="16">
        <v>333.55</v>
      </c>
      <c r="D10" s="10" t="s">
        <v>35</v>
      </c>
      <c r="F10" s="6" t="s">
        <v>36</v>
      </c>
      <c r="G10" t="s">
        <v>33</v>
      </c>
      <c r="H10" s="29">
        <v>1</v>
      </c>
      <c r="I10" s="30">
        <v>0.75</v>
      </c>
      <c r="J10" s="30">
        <v>0.85</v>
      </c>
      <c r="K10" s="16">
        <v>0.88</v>
      </c>
      <c r="L10" s="19">
        <f t="shared" si="0"/>
        <v>0.63749999999999996</v>
      </c>
      <c r="M10" s="31">
        <f t="shared" si="1"/>
        <v>9.1537941436521564</v>
      </c>
    </row>
    <row r="11" spans="2:15">
      <c r="B11" s="6" t="s">
        <v>37</v>
      </c>
      <c r="C11" s="16">
        <v>1</v>
      </c>
      <c r="D11" s="10"/>
      <c r="F11" s="6" t="s">
        <v>38</v>
      </c>
      <c r="G11" t="s">
        <v>39</v>
      </c>
      <c r="H11" s="29">
        <v>0.5</v>
      </c>
      <c r="I11" s="30">
        <v>0.4</v>
      </c>
      <c r="J11" s="30">
        <v>0.8</v>
      </c>
      <c r="K11" s="16">
        <v>0.25</v>
      </c>
      <c r="L11" s="19">
        <f t="shared" si="0"/>
        <v>0.16000000000000003</v>
      </c>
      <c r="M11" s="31">
        <f t="shared" si="1"/>
        <v>2.6005096999011807</v>
      </c>
    </row>
    <row r="12" spans="2:15">
      <c r="B12" s="6" t="s">
        <v>40</v>
      </c>
      <c r="C12" s="16">
        <f>20-(-15)</f>
        <v>35</v>
      </c>
      <c r="D12" s="10" t="s">
        <v>41</v>
      </c>
      <c r="F12" s="6" t="s">
        <v>42</v>
      </c>
      <c r="G12" t="s">
        <v>39</v>
      </c>
      <c r="H12" s="29">
        <v>3</v>
      </c>
      <c r="I12" s="30">
        <v>0.65</v>
      </c>
      <c r="J12" s="30">
        <v>0.9</v>
      </c>
      <c r="K12" s="16">
        <v>2.2000000000000002</v>
      </c>
      <c r="L12" s="19">
        <f t="shared" si="0"/>
        <v>1.7550000000000001</v>
      </c>
      <c r="M12" s="31">
        <f t="shared" si="1"/>
        <v>22.884485359130391</v>
      </c>
    </row>
    <row r="13" spans="2:15" ht="17.100000000000001" thickBot="1">
      <c r="B13" s="7" t="s">
        <v>43</v>
      </c>
      <c r="C13" s="18">
        <f>(C12*c_bread+C10*C27/(C26+C27))/C11</f>
        <v>167.14215686274511</v>
      </c>
      <c r="D13" s="12" t="s">
        <v>35</v>
      </c>
      <c r="F13" s="6" t="s">
        <v>44</v>
      </c>
      <c r="G13" t="s">
        <v>45</v>
      </c>
      <c r="H13" s="29">
        <v>0.5</v>
      </c>
      <c r="I13" s="30">
        <v>0.4</v>
      </c>
      <c r="J13" s="30">
        <v>0.8</v>
      </c>
      <c r="K13" s="16">
        <v>0.25</v>
      </c>
      <c r="L13" s="19">
        <f t="shared" si="0"/>
        <v>0.16000000000000003</v>
      </c>
      <c r="M13" s="31">
        <f t="shared" si="1"/>
        <v>2.6005096999011807</v>
      </c>
    </row>
    <row r="14" spans="2:15" ht="17.100000000000001" thickBot="1">
      <c r="F14" s="7" t="s">
        <v>46</v>
      </c>
      <c r="G14" s="8" t="s">
        <v>45</v>
      </c>
      <c r="H14" s="32">
        <v>0.8</v>
      </c>
      <c r="I14" s="33">
        <v>0.9</v>
      </c>
      <c r="J14" s="33">
        <v>0.85</v>
      </c>
      <c r="K14" s="13">
        <v>0.85</v>
      </c>
      <c r="L14" s="20">
        <f t="shared" si="0"/>
        <v>0.6120000000000001</v>
      </c>
      <c r="M14" s="34">
        <f t="shared" si="1"/>
        <v>8.8417329796640143</v>
      </c>
    </row>
    <row r="15" spans="2:15" ht="17.100000000000001" thickBot="1"/>
    <row r="16" spans="2:15" ht="17.100000000000001" thickBot="1">
      <c r="B16" s="74" t="s">
        <v>47</v>
      </c>
      <c r="C16" s="75"/>
      <c r="D16" s="76"/>
      <c r="F16" s="1"/>
      <c r="G16" s="1"/>
    </row>
    <row r="17" spans="2:11">
      <c r="B17" s="6" t="s">
        <v>48</v>
      </c>
      <c r="C17" s="14">
        <v>0.85</v>
      </c>
      <c r="D17" s="10" t="s">
        <v>49</v>
      </c>
      <c r="F17" s="71" t="s">
        <v>50</v>
      </c>
      <c r="G17" s="73"/>
      <c r="H17" s="73"/>
      <c r="I17" s="80" t="s">
        <v>51</v>
      </c>
      <c r="J17" s="80"/>
      <c r="K17" s="81"/>
    </row>
    <row r="18" spans="2:11" ht="17.100000000000001" thickBot="1">
      <c r="B18" s="7" t="s">
        <v>52</v>
      </c>
      <c r="C18" s="11">
        <f>1-C17</f>
        <v>0.15000000000000002</v>
      </c>
      <c r="D18" s="12" t="s">
        <v>49</v>
      </c>
      <c r="F18" s="7" t="s">
        <v>53</v>
      </c>
      <c r="G18" s="8" t="s">
        <v>54</v>
      </c>
      <c r="H18" s="8" t="s">
        <v>55</v>
      </c>
      <c r="I18" s="8" t="s">
        <v>56</v>
      </c>
      <c r="J18" s="8" t="s">
        <v>57</v>
      </c>
      <c r="K18" s="12" t="s">
        <v>58</v>
      </c>
    </row>
    <row r="19" spans="2:11" ht="17.100000000000001" thickBot="1">
      <c r="F19" s="77" t="s">
        <v>59</v>
      </c>
      <c r="G19" s="78"/>
      <c r="H19" s="78"/>
      <c r="I19" s="78"/>
      <c r="J19" s="78"/>
      <c r="K19" s="79"/>
    </row>
    <row r="20" spans="2:11" ht="17.100000000000001" thickBot="1">
      <c r="F20" s="39" t="s">
        <v>60</v>
      </c>
      <c r="G20" s="51" t="s">
        <v>61</v>
      </c>
      <c r="H20" s="23">
        <v>20.54</v>
      </c>
      <c r="I20" s="23">
        <v>0</v>
      </c>
      <c r="J20" s="23">
        <v>0</v>
      </c>
      <c r="K20" s="40">
        <f t="shared" ref="K20:K23" si="2">1-I20-J20</f>
        <v>1</v>
      </c>
    </row>
    <row r="21" spans="2:11" ht="26.1" thickBot="1">
      <c r="B21" s="74" t="s">
        <v>62</v>
      </c>
      <c r="C21" s="75"/>
      <c r="D21" s="76"/>
      <c r="F21" s="24" t="s">
        <v>63</v>
      </c>
      <c r="G21" s="52" t="s">
        <v>64</v>
      </c>
      <c r="H21" s="16">
        <v>15</v>
      </c>
      <c r="I21" s="16">
        <v>0</v>
      </c>
      <c r="J21" s="16">
        <v>0</v>
      </c>
      <c r="K21" s="41">
        <f t="shared" si="2"/>
        <v>1</v>
      </c>
    </row>
    <row r="22" spans="2:11" ht="26.1" thickBot="1">
      <c r="B22" s="7" t="s">
        <v>65</v>
      </c>
      <c r="C22" s="15">
        <v>7.3639999999999999</v>
      </c>
      <c r="D22" s="12" t="s">
        <v>66</v>
      </c>
      <c r="F22" s="24" t="s">
        <v>67</v>
      </c>
      <c r="G22" s="52" t="s">
        <v>68</v>
      </c>
      <c r="H22" s="16">
        <v>12</v>
      </c>
      <c r="I22" s="16">
        <v>0</v>
      </c>
      <c r="J22" s="16">
        <v>0</v>
      </c>
      <c r="K22" s="41">
        <f t="shared" si="2"/>
        <v>1</v>
      </c>
    </row>
    <row r="23" spans="2:11" ht="26.1" thickBot="1">
      <c r="F23" s="24" t="s">
        <v>69</v>
      </c>
      <c r="G23" s="52" t="s">
        <v>70</v>
      </c>
      <c r="H23" s="53">
        <v>13</v>
      </c>
      <c r="I23" s="53">
        <v>0</v>
      </c>
      <c r="J23" s="53">
        <v>0</v>
      </c>
      <c r="K23" s="54">
        <f t="shared" si="2"/>
        <v>1</v>
      </c>
    </row>
    <row r="24" spans="2:11" ht="17.100000000000001" thickBot="1">
      <c r="F24" s="77" t="s">
        <v>71</v>
      </c>
      <c r="G24" s="78"/>
      <c r="H24" s="78"/>
      <c r="I24" s="78"/>
      <c r="J24" s="78"/>
      <c r="K24" s="79"/>
    </row>
    <row r="25" spans="2:11" ht="17.100000000000001" thickBot="1">
      <c r="B25" s="71" t="s">
        <v>72</v>
      </c>
      <c r="C25" s="73"/>
      <c r="D25" s="72"/>
      <c r="F25" s="24" t="s">
        <v>73</v>
      </c>
      <c r="H25" s="21">
        <v>420</v>
      </c>
      <c r="I25" s="21">
        <v>0.5</v>
      </c>
      <c r="J25" s="21">
        <v>0</v>
      </c>
      <c r="K25" s="55">
        <f>1-I25-J25</f>
        <v>0.5</v>
      </c>
    </row>
    <row r="26" spans="2:11">
      <c r="B26" s="22" t="s">
        <v>14</v>
      </c>
      <c r="C26" s="61">
        <f>C4</f>
        <v>160</v>
      </c>
      <c r="D26" s="5" t="s">
        <v>15</v>
      </c>
      <c r="F26" s="24" t="s">
        <v>74</v>
      </c>
      <c r="H26" s="16">
        <v>320</v>
      </c>
      <c r="I26" s="16">
        <v>0.5</v>
      </c>
      <c r="J26" s="16">
        <v>0</v>
      </c>
      <c r="K26" s="41">
        <f t="shared" ref="K26:K31" si="3">1-I26-J26</f>
        <v>0.5</v>
      </c>
    </row>
    <row r="27" spans="2:11">
      <c r="B27" s="6" t="s">
        <v>75</v>
      </c>
      <c r="C27" s="58">
        <v>44</v>
      </c>
      <c r="D27" s="10" t="s">
        <v>15</v>
      </c>
      <c r="F27" s="24" t="s">
        <v>76</v>
      </c>
      <c r="H27" s="16">
        <v>260</v>
      </c>
      <c r="I27" s="16">
        <v>0.5</v>
      </c>
      <c r="J27" s="16">
        <v>0</v>
      </c>
      <c r="K27" s="41">
        <f t="shared" si="3"/>
        <v>0.5</v>
      </c>
    </row>
    <row r="28" spans="2:11">
      <c r="B28" s="6" t="s">
        <v>77</v>
      </c>
      <c r="C28" s="57">
        <f>C26-C27</f>
        <v>116</v>
      </c>
      <c r="D28" s="10" t="s">
        <v>15</v>
      </c>
      <c r="F28" s="24" t="s">
        <v>78</v>
      </c>
      <c r="H28" s="16">
        <v>2659</v>
      </c>
      <c r="I28" s="16">
        <v>0</v>
      </c>
      <c r="J28" s="16">
        <v>1</v>
      </c>
      <c r="K28" s="41">
        <f t="shared" si="3"/>
        <v>0</v>
      </c>
    </row>
    <row r="29" spans="2:11">
      <c r="B29" s="6" t="s">
        <v>79</v>
      </c>
      <c r="C29" s="57">
        <f>C27/C26</f>
        <v>0.27500000000000002</v>
      </c>
      <c r="D29" s="10"/>
      <c r="F29" s="24" t="s">
        <v>80</v>
      </c>
      <c r="H29" s="16">
        <v>2506</v>
      </c>
      <c r="I29" s="16">
        <v>0</v>
      </c>
      <c r="J29" s="16">
        <v>1</v>
      </c>
      <c r="K29" s="41">
        <f t="shared" si="3"/>
        <v>0</v>
      </c>
    </row>
    <row r="30" spans="2:11">
      <c r="B30" s="6" t="s">
        <v>81</v>
      </c>
      <c r="C30" s="58">
        <v>120</v>
      </c>
      <c r="D30" s="10" t="s">
        <v>82</v>
      </c>
      <c r="F30" s="24" t="s">
        <v>83</v>
      </c>
      <c r="H30" s="16">
        <v>3191</v>
      </c>
      <c r="I30" s="16">
        <v>0</v>
      </c>
      <c r="J30" s="16">
        <v>1</v>
      </c>
      <c r="K30" s="41">
        <f t="shared" si="3"/>
        <v>0</v>
      </c>
    </row>
    <row r="31" spans="2:11" ht="17.100000000000001" thickBot="1">
      <c r="B31" s="6" t="s">
        <v>84</v>
      </c>
      <c r="C31" s="59">
        <v>1</v>
      </c>
      <c r="D31" s="10"/>
      <c r="F31" s="25" t="s">
        <v>85</v>
      </c>
      <c r="G31" s="8"/>
      <c r="H31" s="13">
        <v>192</v>
      </c>
      <c r="I31" s="13">
        <v>0</v>
      </c>
      <c r="J31" s="13">
        <v>0</v>
      </c>
      <c r="K31" s="42">
        <f t="shared" si="3"/>
        <v>1</v>
      </c>
    </row>
    <row r="32" spans="2:11">
      <c r="B32" s="6" t="s">
        <v>86</v>
      </c>
      <c r="C32" s="60">
        <f>C30/1000*3600*op_time/C31</f>
        <v>4493.6807614292402</v>
      </c>
      <c r="D32" s="10" t="s">
        <v>87</v>
      </c>
    </row>
    <row r="33" spans="2:9" ht="17.100000000000001" thickBot="1">
      <c r="B33" s="7" t="s">
        <v>86</v>
      </c>
      <c r="C33" s="62">
        <f>C30*op_time</f>
        <v>1248.2446559525667</v>
      </c>
      <c r="D33" s="12" t="s">
        <v>88</v>
      </c>
    </row>
    <row r="34" spans="2:9">
      <c r="F34" s="71" t="s">
        <v>89</v>
      </c>
      <c r="G34" s="73"/>
      <c r="H34" s="73"/>
      <c r="I34" s="72"/>
    </row>
    <row r="35" spans="2:9" ht="35.1" thickBot="1">
      <c r="F35" s="7" t="s">
        <v>90</v>
      </c>
      <c r="G35" s="28" t="s">
        <v>91</v>
      </c>
      <c r="H35" s="28" t="s">
        <v>92</v>
      </c>
      <c r="I35" s="12" t="s">
        <v>93</v>
      </c>
    </row>
    <row r="36" spans="2:9">
      <c r="B36" s="71" t="s">
        <v>94</v>
      </c>
      <c r="C36" s="72"/>
      <c r="F36" s="6" t="s">
        <v>95</v>
      </c>
      <c r="G36" s="16">
        <v>12</v>
      </c>
      <c r="H36" s="19">
        <f>_xlfn.PERCENTOF(G36,$G$36:$G$38)</f>
        <v>0.375</v>
      </c>
      <c r="I36" s="10" t="s">
        <v>96</v>
      </c>
    </row>
    <row r="37" spans="2:9">
      <c r="B37" s="6" t="s">
        <v>71</v>
      </c>
      <c r="C37" s="67">
        <v>0.78</v>
      </c>
      <c r="F37" s="6" t="s">
        <v>97</v>
      </c>
      <c r="G37" s="16">
        <v>5</v>
      </c>
      <c r="H37" s="19">
        <f>_xlfn.PERCENTOF(G37,$G$36:$G$38)</f>
        <v>0.15625</v>
      </c>
      <c r="I37" s="10" t="s">
        <v>98</v>
      </c>
    </row>
    <row r="38" spans="2:9" ht="17.100000000000001" thickBot="1">
      <c r="B38" s="7" t="s">
        <v>99</v>
      </c>
      <c r="C38" s="42">
        <f>1-C37</f>
        <v>0.21999999999999997</v>
      </c>
      <c r="F38" s="7" t="s">
        <v>100</v>
      </c>
      <c r="G38" s="13">
        <v>15</v>
      </c>
      <c r="H38" s="20">
        <f>_xlfn.PERCENTOF(G38,$G$36:$G$38)</f>
        <v>0.46875</v>
      </c>
      <c r="I38" s="12" t="s">
        <v>101</v>
      </c>
    </row>
    <row r="64" spans="14:14">
      <c r="N64" t="s">
        <v>102</v>
      </c>
    </row>
  </sheetData>
  <mergeCells count="12">
    <mergeCell ref="B36:C36"/>
    <mergeCell ref="F34:I34"/>
    <mergeCell ref="B16:D16"/>
    <mergeCell ref="B21:D21"/>
    <mergeCell ref="B2:D2"/>
    <mergeCell ref="B8:D8"/>
    <mergeCell ref="B25:D25"/>
    <mergeCell ref="F2:M2"/>
    <mergeCell ref="F24:K24"/>
    <mergeCell ref="F19:K19"/>
    <mergeCell ref="F17:H17"/>
    <mergeCell ref="I17:K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C231-674B-1E4A-AEC3-DE01EE9DAD69}">
  <dimension ref="B1:AA51"/>
  <sheetViews>
    <sheetView topLeftCell="A16" workbookViewId="0">
      <selection activeCell="D55" sqref="D55"/>
    </sheetView>
  </sheetViews>
  <sheetFormatPr defaultColWidth="11" defaultRowHeight="15.95"/>
  <cols>
    <col min="2" max="2" width="17.5" customWidth="1"/>
    <col min="3" max="3" width="34.625" bestFit="1" customWidth="1"/>
    <col min="4" max="5" width="21" bestFit="1" customWidth="1"/>
    <col min="6" max="6" width="16.5" customWidth="1"/>
    <col min="8" max="8" width="11.875" bestFit="1" customWidth="1"/>
    <col min="16" max="16" width="16" customWidth="1"/>
    <col min="17" max="17" width="33.125" customWidth="1"/>
    <col min="20" max="20" width="19.875" customWidth="1"/>
    <col min="23" max="23" width="14.125" customWidth="1"/>
    <col min="24" max="24" width="12.625" bestFit="1" customWidth="1"/>
  </cols>
  <sheetData>
    <row r="1" spans="2:27" ht="17.100000000000001" thickBot="1"/>
    <row r="2" spans="2:27" ht="21.95">
      <c r="B2" s="46" t="s">
        <v>103</v>
      </c>
      <c r="C2" s="4"/>
      <c r="D2" s="63" t="s">
        <v>104</v>
      </c>
      <c r="E2" s="4"/>
      <c r="F2" s="4"/>
      <c r="G2" s="4"/>
      <c r="H2" s="4"/>
      <c r="I2" s="4"/>
      <c r="J2" s="4"/>
      <c r="K2" s="4"/>
      <c r="L2" s="4"/>
      <c r="M2" s="4"/>
      <c r="N2" s="5"/>
      <c r="P2" s="46" t="s">
        <v>105</v>
      </c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2:27">
      <c r="B3" s="6"/>
      <c r="E3" t="s">
        <v>106</v>
      </c>
      <c r="F3" t="s">
        <v>107</v>
      </c>
      <c r="G3" t="s">
        <v>108</v>
      </c>
      <c r="H3" t="s">
        <v>17</v>
      </c>
      <c r="I3" t="s">
        <v>21</v>
      </c>
      <c r="J3" t="s">
        <v>27</v>
      </c>
      <c r="K3" t="s">
        <v>109</v>
      </c>
      <c r="L3" t="s">
        <v>33</v>
      </c>
      <c r="M3" t="s">
        <v>39</v>
      </c>
      <c r="N3" s="10"/>
      <c r="P3" s="6"/>
      <c r="S3" t="s">
        <v>106</v>
      </c>
      <c r="T3" t="s">
        <v>107</v>
      </c>
      <c r="U3" t="s">
        <v>108</v>
      </c>
      <c r="V3" t="s">
        <v>17</v>
      </c>
      <c r="W3" t="s">
        <v>21</v>
      </c>
      <c r="X3" t="s">
        <v>27</v>
      </c>
      <c r="Y3" t="s">
        <v>109</v>
      </c>
      <c r="Z3" t="s">
        <v>33</v>
      </c>
      <c r="AA3" s="10" t="s">
        <v>39</v>
      </c>
    </row>
    <row r="4" spans="2:27">
      <c r="B4" s="66" t="s">
        <v>110</v>
      </c>
      <c r="C4" s="2"/>
      <c r="D4" s="48" t="s">
        <v>111</v>
      </c>
      <c r="E4" s="48" t="s">
        <v>112</v>
      </c>
      <c r="F4" s="48" t="s">
        <v>113</v>
      </c>
      <c r="G4" s="48" t="s">
        <v>63</v>
      </c>
      <c r="H4" s="48" t="s">
        <v>114</v>
      </c>
      <c r="I4" s="48" t="s">
        <v>115</v>
      </c>
      <c r="J4" s="48" t="s">
        <v>116</v>
      </c>
      <c r="K4" s="48" t="s">
        <v>117</v>
      </c>
      <c r="L4" s="48" t="s">
        <v>118</v>
      </c>
      <c r="M4" s="48" t="s">
        <v>119</v>
      </c>
      <c r="N4" s="49" t="s">
        <v>120</v>
      </c>
      <c r="P4" s="66" t="s">
        <v>110</v>
      </c>
      <c r="Q4" s="2"/>
      <c r="R4" s="48" t="s">
        <v>111</v>
      </c>
      <c r="S4" s="48" t="s">
        <v>112</v>
      </c>
      <c r="T4" s="48" t="s">
        <v>113</v>
      </c>
      <c r="U4" s="48" t="s">
        <v>63</v>
      </c>
      <c r="V4" s="48" t="s">
        <v>114</v>
      </c>
      <c r="W4" s="48" t="s">
        <v>115</v>
      </c>
      <c r="X4" s="48" t="s">
        <v>116</v>
      </c>
      <c r="Y4" s="48" t="s">
        <v>117</v>
      </c>
      <c r="Z4" s="48" t="s">
        <v>118</v>
      </c>
      <c r="AA4" s="49" t="s">
        <v>119</v>
      </c>
    </row>
    <row r="5" spans="2:27">
      <c r="B5" s="6"/>
      <c r="C5" s="2" t="s">
        <v>121</v>
      </c>
      <c r="D5" s="48">
        <f>-E5</f>
        <v>1664.3262079367557</v>
      </c>
      <c r="E5" s="48">
        <f>-E6</f>
        <v>-1664.3262079367557</v>
      </c>
      <c r="F5" s="48"/>
      <c r="G5" s="48"/>
      <c r="H5" s="48"/>
      <c r="I5" s="48"/>
      <c r="J5" s="48"/>
      <c r="K5" s="48"/>
      <c r="L5" s="48"/>
      <c r="M5" s="48"/>
      <c r="N5" s="49">
        <f t="shared" ref="N5:N18" si="0">SUM(D5:M5)</f>
        <v>0</v>
      </c>
      <c r="P5" s="6"/>
      <c r="Q5" s="2" t="s">
        <v>121</v>
      </c>
      <c r="R5" s="2">
        <f>D5/R$20</f>
        <v>0.99548243599907782</v>
      </c>
      <c r="S5" s="2">
        <f>E5/S$20</f>
        <v>-1</v>
      </c>
      <c r="T5" s="2"/>
      <c r="U5" s="9"/>
      <c r="V5" s="2"/>
      <c r="W5" s="2"/>
      <c r="X5" s="9"/>
      <c r="Y5" s="9"/>
      <c r="Z5" s="9"/>
      <c r="AA5" s="64"/>
    </row>
    <row r="6" spans="2:27">
      <c r="B6" s="6"/>
      <c r="C6" s="2" t="s">
        <v>122</v>
      </c>
      <c r="D6" s="48"/>
      <c r="E6" s="48">
        <f>-F6</f>
        <v>1664.3262079367557</v>
      </c>
      <c r="F6" s="48">
        <f>-F7</f>
        <v>-1664.3262079367557</v>
      </c>
      <c r="G6" s="48"/>
      <c r="H6" s="48"/>
      <c r="I6" s="48"/>
      <c r="J6" s="48"/>
      <c r="K6" s="48"/>
      <c r="L6" s="48"/>
      <c r="M6" s="48"/>
      <c r="N6" s="49">
        <f t="shared" si="0"/>
        <v>0</v>
      </c>
      <c r="P6" s="6"/>
      <c r="Q6" s="2" t="s">
        <v>122</v>
      </c>
      <c r="R6" s="2"/>
      <c r="S6" s="2">
        <f>E6/S$20</f>
        <v>1</v>
      </c>
      <c r="T6" s="2">
        <f>F6/T$20</f>
        <v>-1</v>
      </c>
      <c r="U6" s="2"/>
      <c r="V6" s="2"/>
      <c r="W6" s="2"/>
      <c r="X6" s="2"/>
      <c r="Y6" s="2"/>
      <c r="Z6" s="2"/>
      <c r="AA6" s="43"/>
    </row>
    <row r="7" spans="2:27">
      <c r="B7" s="6"/>
      <c r="C7" s="2" t="s">
        <v>123</v>
      </c>
      <c r="D7" s="48"/>
      <c r="E7" s="48"/>
      <c r="F7" s="48">
        <f>-G7</f>
        <v>1664.3262079367557</v>
      </c>
      <c r="G7" s="48">
        <f>-G8</f>
        <v>-1664.3262079367557</v>
      </c>
      <c r="H7" s="48"/>
      <c r="I7" s="48"/>
      <c r="J7" s="48"/>
      <c r="K7" s="48"/>
      <c r="L7" s="48"/>
      <c r="M7" s="48"/>
      <c r="N7" s="49">
        <f t="shared" si="0"/>
        <v>0</v>
      </c>
      <c r="P7" s="6"/>
      <c r="Q7" s="2" t="s">
        <v>123</v>
      </c>
      <c r="R7" s="2"/>
      <c r="S7" s="2"/>
      <c r="T7" s="2">
        <f>F7/T$20</f>
        <v>1</v>
      </c>
      <c r="U7" s="2">
        <f>G7/U$20</f>
        <v>-1</v>
      </c>
      <c r="V7" s="2"/>
      <c r="W7" s="2"/>
      <c r="X7" s="2"/>
      <c r="Y7" s="2"/>
      <c r="Z7" s="2"/>
      <c r="AA7" s="43"/>
    </row>
    <row r="8" spans="2:27">
      <c r="B8" s="6"/>
      <c r="C8" s="2" t="s">
        <v>124</v>
      </c>
      <c r="D8" s="48"/>
      <c r="E8" s="48"/>
      <c r="F8" s="48"/>
      <c r="G8" s="48">
        <f>-H8</f>
        <v>1664.3262079367557</v>
      </c>
      <c r="H8" s="48">
        <f>-H9</f>
        <v>-1664.3262079367557</v>
      </c>
      <c r="I8" s="48"/>
      <c r="J8" s="48"/>
      <c r="K8" s="48"/>
      <c r="L8" s="48"/>
      <c r="M8" s="48"/>
      <c r="N8" s="49">
        <f t="shared" si="0"/>
        <v>0</v>
      </c>
      <c r="P8" s="6"/>
      <c r="Q8" s="2" t="s">
        <v>125</v>
      </c>
      <c r="R8" s="2"/>
      <c r="S8" s="2"/>
      <c r="T8" s="2"/>
      <c r="U8" s="2">
        <f>G8/U$20</f>
        <v>1</v>
      </c>
      <c r="V8" s="2">
        <f>H8/V$20</f>
        <v>-1</v>
      </c>
      <c r="W8" s="2"/>
      <c r="X8" s="2"/>
      <c r="Y8" s="2"/>
      <c r="Z8" s="2"/>
      <c r="AA8" s="43"/>
    </row>
    <row r="9" spans="2:27">
      <c r="B9" s="6"/>
      <c r="C9" s="2" t="s">
        <v>59</v>
      </c>
      <c r="D9" s="48"/>
      <c r="E9" s="48"/>
      <c r="F9" s="48"/>
      <c r="G9" s="48"/>
      <c r="H9" s="48">
        <f>-I9</f>
        <v>1664.3262079367557</v>
      </c>
      <c r="I9" s="48">
        <f>-I10</f>
        <v>-1664.3262079367557</v>
      </c>
      <c r="J9" s="48"/>
      <c r="K9" s="48"/>
      <c r="L9" s="48"/>
      <c r="M9" s="48"/>
      <c r="N9" s="49">
        <f t="shared" si="0"/>
        <v>0</v>
      </c>
      <c r="P9" s="6"/>
      <c r="Q9" s="2" t="s">
        <v>59</v>
      </c>
      <c r="R9" s="2"/>
      <c r="S9" s="2"/>
      <c r="T9" s="2"/>
      <c r="U9" s="2"/>
      <c r="V9" s="2">
        <f>H9/V$20</f>
        <v>1</v>
      </c>
      <c r="W9" s="2">
        <f>I9/W$20</f>
        <v>-1</v>
      </c>
      <c r="X9" s="2"/>
      <c r="Y9" s="2"/>
      <c r="Z9" s="2"/>
      <c r="AA9" s="43"/>
    </row>
    <row r="10" spans="2:27">
      <c r="B10" s="6"/>
      <c r="C10" s="2" t="s">
        <v>126</v>
      </c>
      <c r="D10" s="48"/>
      <c r="E10" s="48"/>
      <c r="F10" s="48"/>
      <c r="G10" s="48"/>
      <c r="H10" s="48"/>
      <c r="I10" s="48">
        <f>-J10</f>
        <v>1664.3262079367557</v>
      </c>
      <c r="J10" s="48">
        <f>-J12/(1-bread_hydration)</f>
        <v>-1664.3262079367557</v>
      </c>
      <c r="K10" s="48"/>
      <c r="L10" s="48"/>
      <c r="M10" s="48"/>
      <c r="N10" s="49">
        <f t="shared" si="0"/>
        <v>0</v>
      </c>
      <c r="P10" s="6"/>
      <c r="Q10" s="2" t="s">
        <v>126</v>
      </c>
      <c r="R10" s="2"/>
      <c r="S10" s="2"/>
      <c r="T10" s="2"/>
      <c r="U10" s="2"/>
      <c r="V10" s="2"/>
      <c r="W10" s="2">
        <f>I10/W$20</f>
        <v>1</v>
      </c>
      <c r="X10" s="2">
        <f>J10/X$20</f>
        <v>-1</v>
      </c>
      <c r="Y10" s="2"/>
      <c r="Z10" s="2"/>
      <c r="AA10" s="43"/>
    </row>
    <row r="11" spans="2:27">
      <c r="B11" s="6"/>
      <c r="C11" s="2" t="s">
        <v>127</v>
      </c>
      <c r="D11" s="48"/>
      <c r="E11" s="48"/>
      <c r="F11" s="48"/>
      <c r="G11" s="48"/>
      <c r="H11" s="48"/>
      <c r="I11" s="48"/>
      <c r="J11" s="48">
        <f>-(J10+J12)</f>
        <v>457.68970718260789</v>
      </c>
      <c r="K11" s="48"/>
      <c r="L11" s="48"/>
      <c r="M11" s="48"/>
      <c r="N11" s="49">
        <f t="shared" si="0"/>
        <v>457.68970718260789</v>
      </c>
      <c r="P11" s="6"/>
      <c r="Q11" s="2" t="s">
        <v>127</v>
      </c>
      <c r="R11" s="2"/>
      <c r="S11" s="2"/>
      <c r="T11" s="2"/>
      <c r="U11" s="2"/>
      <c r="V11" s="2"/>
      <c r="W11" s="2"/>
      <c r="X11" s="2">
        <f>J11/X$20</f>
        <v>0.27500000000000002</v>
      </c>
      <c r="Y11" s="2"/>
      <c r="Z11" s="2"/>
      <c r="AA11" s="43"/>
    </row>
    <row r="12" spans="2:27">
      <c r="B12" s="6"/>
      <c r="C12" s="2" t="s">
        <v>128</v>
      </c>
      <c r="D12" s="48"/>
      <c r="E12" s="48"/>
      <c r="F12" s="48"/>
      <c r="G12" s="48"/>
      <c r="H12" s="48"/>
      <c r="I12" s="48"/>
      <c r="J12" s="48">
        <f>K13/flour_fraction</f>
        <v>1206.6365007541478</v>
      </c>
      <c r="K12" s="48">
        <f>-J12</f>
        <v>-1206.6365007541478</v>
      </c>
      <c r="L12" s="48"/>
      <c r="M12" s="48"/>
      <c r="N12" s="49">
        <f t="shared" si="0"/>
        <v>0</v>
      </c>
      <c r="P12" s="6"/>
      <c r="Q12" s="2" t="s">
        <v>128</v>
      </c>
      <c r="R12" s="2"/>
      <c r="S12" s="2"/>
      <c r="T12" s="2"/>
      <c r="U12" s="2"/>
      <c r="V12" s="2"/>
      <c r="W12" s="2"/>
      <c r="X12" s="2">
        <f>J12/X$20</f>
        <v>0.72499999999999998</v>
      </c>
      <c r="Y12" s="2"/>
      <c r="Z12" s="2"/>
      <c r="AA12" s="43"/>
    </row>
    <row r="13" spans="2:27">
      <c r="B13" s="6"/>
      <c r="C13" s="2" t="s">
        <v>129</v>
      </c>
      <c r="D13" s="48"/>
      <c r="E13" s="48"/>
      <c r="F13" s="48"/>
      <c r="G13" s="48"/>
      <c r="H13" s="48"/>
      <c r="I13" s="48"/>
      <c r="J13" s="48"/>
      <c r="K13" s="65">
        <f>-L13</f>
        <v>1025.6410256410256</v>
      </c>
      <c r="L13" s="48">
        <f>-L16/(1+constants!C22/1000)</f>
        <v>-1025.6410256410256</v>
      </c>
      <c r="M13" s="48"/>
      <c r="N13" s="49">
        <f t="shared" si="0"/>
        <v>0</v>
      </c>
      <c r="P13" s="6"/>
      <c r="Q13" s="2" t="s">
        <v>129</v>
      </c>
      <c r="R13" s="3"/>
      <c r="S13" s="2"/>
      <c r="T13" s="2"/>
      <c r="U13" s="2"/>
      <c r="V13" s="2"/>
      <c r="W13" s="2"/>
      <c r="X13" s="2"/>
      <c r="Y13" s="2">
        <f>K13/Y$20</f>
        <v>0.85</v>
      </c>
      <c r="Z13" s="2">
        <f>L13/Z$20</f>
        <v>-1</v>
      </c>
      <c r="AA13" s="43"/>
    </row>
    <row r="14" spans="2:27">
      <c r="B14" s="6"/>
      <c r="C14" s="2" t="s">
        <v>130</v>
      </c>
      <c r="D14" s="48"/>
      <c r="E14" s="48"/>
      <c r="F14" s="48"/>
      <c r="G14" s="48"/>
      <c r="H14" s="48"/>
      <c r="I14" s="48"/>
      <c r="J14" s="48"/>
      <c r="K14" s="48">
        <f>J12-K13</f>
        <v>180.99547511312221</v>
      </c>
      <c r="L14" s="48"/>
      <c r="M14" s="48"/>
      <c r="N14" s="49">
        <f t="shared" si="0"/>
        <v>180.99547511312221</v>
      </c>
      <c r="P14" s="6"/>
      <c r="Q14" s="2" t="s">
        <v>130</v>
      </c>
      <c r="R14" s="3"/>
      <c r="S14" s="2"/>
      <c r="T14" s="2"/>
      <c r="U14" s="2"/>
      <c r="V14" s="2"/>
      <c r="W14" s="2"/>
      <c r="X14" s="2"/>
      <c r="Y14" s="2">
        <f>K14/Y$20</f>
        <v>0.15000000000000002</v>
      </c>
      <c r="Z14" s="2"/>
      <c r="AA14" s="43"/>
    </row>
    <row r="15" spans="2:27">
      <c r="B15" s="6"/>
      <c r="C15" s="2" t="s">
        <v>131</v>
      </c>
      <c r="D15" s="48">
        <f>-L15</f>
        <v>7.5528205128205128</v>
      </c>
      <c r="E15" s="48"/>
      <c r="F15" s="48"/>
      <c r="G15" s="48"/>
      <c r="H15" s="48"/>
      <c r="I15" s="48"/>
      <c r="J15" s="48"/>
      <c r="K15" s="48"/>
      <c r="L15" s="48">
        <f>-K13*constants!C22/1000</f>
        <v>-7.5528205128205128</v>
      </c>
      <c r="M15" s="48"/>
      <c r="N15" s="49">
        <f t="shared" si="0"/>
        <v>0</v>
      </c>
      <c r="P15" s="6"/>
      <c r="Q15" s="2" t="s">
        <v>131</v>
      </c>
      <c r="R15" s="2">
        <f>-Z15</f>
        <v>7.3639999999999999E-3</v>
      </c>
      <c r="S15" s="2"/>
      <c r="T15" s="2"/>
      <c r="U15" s="2"/>
      <c r="V15" s="2"/>
      <c r="W15" s="2"/>
      <c r="X15" s="2"/>
      <c r="Y15" s="3"/>
      <c r="Z15" s="2">
        <f>L15/Z$20</f>
        <v>-7.3639999999999999E-3</v>
      </c>
      <c r="AA15" s="43"/>
    </row>
    <row r="16" spans="2:27">
      <c r="B16" s="6"/>
      <c r="C16" s="2" t="s">
        <v>132</v>
      </c>
      <c r="D16" s="48"/>
      <c r="E16" s="48"/>
      <c r="F16" s="48"/>
      <c r="G16" s="48"/>
      <c r="H16" s="48"/>
      <c r="I16" s="48"/>
      <c r="J16" s="48"/>
      <c r="K16" s="48"/>
      <c r="L16" s="48">
        <f>-M16</f>
        <v>1033.1938461538462</v>
      </c>
      <c r="M16" s="48">
        <f>-M18/(1-wastage)</f>
        <v>-1033.1938461538462</v>
      </c>
      <c r="N16" s="49">
        <f t="shared" si="0"/>
        <v>0</v>
      </c>
      <c r="P16" s="6"/>
      <c r="Q16" s="2" t="s">
        <v>132</v>
      </c>
      <c r="R16" s="2"/>
      <c r="S16" s="2"/>
      <c r="T16" s="2"/>
      <c r="U16" s="2"/>
      <c r="V16" s="2"/>
      <c r="W16" s="2"/>
      <c r="X16" s="2"/>
      <c r="Y16" s="2"/>
      <c r="Z16" s="2">
        <f>L16/Z$20</f>
        <v>1.0073639999999999</v>
      </c>
      <c r="AA16" s="43">
        <f>M16/AA$20</f>
        <v>-1</v>
      </c>
    </row>
    <row r="17" spans="2:27">
      <c r="B17" s="6"/>
      <c r="C17" s="2" t="s">
        <v>133</v>
      </c>
      <c r="D17" s="48"/>
      <c r="E17" s="48"/>
      <c r="F17" s="48"/>
      <c r="G17" s="48"/>
      <c r="H17" s="48"/>
      <c r="I17" s="48"/>
      <c r="J17" s="48"/>
      <c r="K17" s="48"/>
      <c r="L17" s="48"/>
      <c r="M17" s="48">
        <f>-wastage*M16</f>
        <v>25.829846153846155</v>
      </c>
      <c r="N17" s="49">
        <f t="shared" si="0"/>
        <v>25.829846153846155</v>
      </c>
      <c r="P17" s="6"/>
      <c r="Q17" s="2" t="s">
        <v>133</v>
      </c>
      <c r="R17" s="2"/>
      <c r="S17" s="2"/>
      <c r="T17" s="2"/>
      <c r="U17" s="2"/>
      <c r="V17" s="2"/>
      <c r="W17" s="2"/>
      <c r="X17" s="2"/>
      <c r="Y17" s="2"/>
      <c r="Z17" s="2"/>
      <c r="AA17" s="43">
        <f>M17/AA$20</f>
        <v>2.5000000000000001E-2</v>
      </c>
    </row>
    <row r="18" spans="2:27">
      <c r="B18" s="6"/>
      <c r="C18" s="2" t="s">
        <v>134</v>
      </c>
      <c r="D18" s="48"/>
      <c r="E18" s="48"/>
      <c r="F18" s="48"/>
      <c r="G18" s="48"/>
      <c r="H18" s="48"/>
      <c r="I18" s="48"/>
      <c r="J18" s="48"/>
      <c r="K18" s="48"/>
      <c r="L18" s="48"/>
      <c r="M18" s="48">
        <f>constants!C3*constants!C22/1000 + constants!C3</f>
        <v>1007.364</v>
      </c>
      <c r="N18" s="49">
        <f t="shared" si="0"/>
        <v>1007.364</v>
      </c>
      <c r="P18" s="6"/>
      <c r="Q18" s="2" t="s">
        <v>134</v>
      </c>
      <c r="R18" s="2"/>
      <c r="S18" s="2"/>
      <c r="T18" s="2"/>
      <c r="U18" s="2"/>
      <c r="V18" s="2"/>
      <c r="W18" s="2"/>
      <c r="X18" s="2"/>
      <c r="Y18" s="2"/>
      <c r="Z18" s="2"/>
      <c r="AA18" s="43">
        <f>M18/AA$20</f>
        <v>0.97499999999999998</v>
      </c>
    </row>
    <row r="19" spans="2:27">
      <c r="B19" s="6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50"/>
      <c r="P19" s="6"/>
      <c r="AA19" s="10"/>
    </row>
    <row r="20" spans="2:27">
      <c r="B20" s="6"/>
      <c r="C20" s="2" t="s">
        <v>135</v>
      </c>
      <c r="D20" s="48">
        <f t="shared" ref="D20:N20" si="1">SUM(D5:D18)</f>
        <v>1671.8790284495763</v>
      </c>
      <c r="E20" s="48">
        <f t="shared" si="1"/>
        <v>0</v>
      </c>
      <c r="F20" s="48">
        <f t="shared" si="1"/>
        <v>0</v>
      </c>
      <c r="G20" s="48">
        <f t="shared" si="1"/>
        <v>0</v>
      </c>
      <c r="H20" s="48">
        <f t="shared" si="1"/>
        <v>0</v>
      </c>
      <c r="I20" s="48">
        <f t="shared" si="1"/>
        <v>0</v>
      </c>
      <c r="J20" s="48">
        <f t="shared" si="1"/>
        <v>0</v>
      </c>
      <c r="K20" s="48">
        <f t="shared" si="1"/>
        <v>0</v>
      </c>
      <c r="L20" s="48">
        <f t="shared" si="1"/>
        <v>0</v>
      </c>
      <c r="M20" s="48">
        <f t="shared" si="1"/>
        <v>0</v>
      </c>
      <c r="N20" s="49">
        <f t="shared" si="1"/>
        <v>1671.8790284495763</v>
      </c>
      <c r="P20" s="6"/>
      <c r="Q20" s="2" t="s">
        <v>136</v>
      </c>
      <c r="R20" s="2">
        <f>D20</f>
        <v>1671.8790284495763</v>
      </c>
      <c r="S20" s="2">
        <f>E6</f>
        <v>1664.3262079367557</v>
      </c>
      <c r="T20" s="2">
        <f>F7</f>
        <v>1664.3262079367557</v>
      </c>
      <c r="U20" s="2">
        <f>G8</f>
        <v>1664.3262079367557</v>
      </c>
      <c r="V20" s="2">
        <f>H9</f>
        <v>1664.3262079367557</v>
      </c>
      <c r="W20" s="2">
        <f>I10</f>
        <v>1664.3262079367557</v>
      </c>
      <c r="X20" s="2">
        <f>-J10</f>
        <v>1664.3262079367557</v>
      </c>
      <c r="Y20" s="3">
        <f>-K12</f>
        <v>1206.6365007541478</v>
      </c>
      <c r="Z20" s="2">
        <f>-L13</f>
        <v>1025.6410256410256</v>
      </c>
      <c r="AA20" s="43">
        <f>-M16</f>
        <v>1033.1938461538462</v>
      </c>
    </row>
    <row r="21" spans="2:27">
      <c r="B21" s="6"/>
      <c r="N21" s="10"/>
      <c r="P21" s="6"/>
      <c r="AA21" s="10"/>
    </row>
    <row r="22" spans="2:27">
      <c r="B22" s="6"/>
      <c r="N22" s="10"/>
      <c r="P22" s="6"/>
      <c r="AA22" s="10"/>
    </row>
    <row r="23" spans="2:27">
      <c r="B23" s="66" t="s">
        <v>50</v>
      </c>
      <c r="C23" s="2" t="s">
        <v>137</v>
      </c>
      <c r="D23" s="2"/>
      <c r="E23" s="2">
        <f>E6</f>
        <v>1664.3262079367557</v>
      </c>
      <c r="F23" s="2"/>
      <c r="G23" s="2">
        <f>G8</f>
        <v>1664.3262079367557</v>
      </c>
      <c r="H23" s="2"/>
      <c r="I23" s="2"/>
      <c r="J23" s="2"/>
      <c r="K23" s="2"/>
      <c r="L23" s="2"/>
      <c r="M23" s="2"/>
      <c r="N23" s="43"/>
      <c r="P23" s="66" t="s">
        <v>50</v>
      </c>
      <c r="Q23" s="2" t="s">
        <v>137</v>
      </c>
      <c r="R23" s="2"/>
      <c r="S23" s="2">
        <f>S7</f>
        <v>0</v>
      </c>
      <c r="T23" s="2"/>
      <c r="U23" s="2">
        <f>U6</f>
        <v>0</v>
      </c>
      <c r="V23" s="2"/>
      <c r="W23" s="2"/>
      <c r="X23" s="2"/>
      <c r="Y23" s="2"/>
      <c r="Z23" s="2"/>
      <c r="AA23" s="43"/>
    </row>
    <row r="24" spans="2:27">
      <c r="B24" s="6"/>
      <c r="C24" s="2" t="s">
        <v>138</v>
      </c>
      <c r="D24" s="2"/>
      <c r="E24" s="2">
        <f>constants!H20</f>
        <v>20.54</v>
      </c>
      <c r="F24" s="2"/>
      <c r="G24" s="2">
        <f>constants!H21</f>
        <v>15</v>
      </c>
      <c r="H24" s="2"/>
      <c r="I24" s="2"/>
      <c r="J24" s="2"/>
      <c r="K24" s="2"/>
      <c r="L24" s="2"/>
      <c r="M24" s="2"/>
      <c r="N24" s="43"/>
      <c r="P24" s="6"/>
      <c r="Q24" s="2" t="s">
        <v>138</v>
      </c>
      <c r="R24" s="2"/>
      <c r="S24" s="2">
        <f>E24</f>
        <v>20.54</v>
      </c>
      <c r="T24" s="2"/>
      <c r="U24" s="2">
        <f>G24</f>
        <v>15</v>
      </c>
      <c r="V24" s="2"/>
      <c r="W24" s="2"/>
      <c r="X24" s="2"/>
      <c r="Y24" s="2"/>
      <c r="Z24" s="2"/>
      <c r="AA24" s="43"/>
    </row>
    <row r="25" spans="2:27">
      <c r="B25" s="6"/>
      <c r="N25" s="10"/>
      <c r="P25" s="6"/>
      <c r="AA25" s="10"/>
    </row>
    <row r="26" spans="2:27">
      <c r="B26" s="6"/>
      <c r="N26" s="10"/>
      <c r="P26" s="6"/>
      <c r="AA26" s="10"/>
    </row>
    <row r="27" spans="2:27">
      <c r="B27" s="66" t="s">
        <v>139</v>
      </c>
      <c r="C27" s="2" t="s">
        <v>140</v>
      </c>
      <c r="D27" s="2">
        <f>SUM(E27:M27)</f>
        <v>276.36698710158521</v>
      </c>
      <c r="E27" s="2"/>
      <c r="F27" s="2">
        <f>constants!C13*'rescued bread - mass balance'!F7/3600</f>
        <v>77.271964477150817</v>
      </c>
      <c r="G27" s="2"/>
      <c r="H27" s="3">
        <f>constants!M4</f>
        <v>34.326728038695585</v>
      </c>
      <c r="I27" s="3">
        <f>constants!M5+constants!M6</f>
        <v>44.520726062308213</v>
      </c>
      <c r="J27" s="3">
        <f>constants!M7+constants!M8</f>
        <v>71.566026941280498</v>
      </c>
      <c r="K27" s="3">
        <f>constants!M9+constants!M10</f>
        <v>11.754303843553338</v>
      </c>
      <c r="L27" s="3">
        <f>constants!M11+constants!M12</f>
        <v>25.484995059031572</v>
      </c>
      <c r="M27" s="3">
        <f>constants!M13+constants!M14</f>
        <v>11.442242679565195</v>
      </c>
      <c r="N27" s="43"/>
      <c r="P27" s="66" t="s">
        <v>139</v>
      </c>
      <c r="Q27" s="2" t="s">
        <v>141</v>
      </c>
      <c r="R27" s="2"/>
      <c r="S27" s="2"/>
      <c r="T27" s="2">
        <f>F27/T$20</f>
        <v>4.6428376906318083E-2</v>
      </c>
      <c r="U27" s="2"/>
      <c r="V27" s="2">
        <f t="shared" ref="V27:AA27" si="2">H27/V$20</f>
        <v>2.0624999999999998E-2</v>
      </c>
      <c r="W27" s="2">
        <f t="shared" si="2"/>
        <v>2.6749999999999999E-2</v>
      </c>
      <c r="X27" s="2">
        <f t="shared" si="2"/>
        <v>4.3000000000000003E-2</v>
      </c>
      <c r="Y27" s="2">
        <f t="shared" si="2"/>
        <v>9.7413793103448276E-3</v>
      </c>
      <c r="Z27" s="2">
        <f t="shared" si="2"/>
        <v>2.4847870182555784E-2</v>
      </c>
      <c r="AA27" s="43">
        <f t="shared" si="2"/>
        <v>1.1074633015053214E-2</v>
      </c>
    </row>
    <row r="28" spans="2:27" ht="17.100000000000001" thickBot="1">
      <c r="B28" s="7"/>
      <c r="C28" s="44" t="s">
        <v>142</v>
      </c>
      <c r="D28" s="44"/>
      <c r="E28" s="44"/>
      <c r="F28" s="44"/>
      <c r="G28" s="44"/>
      <c r="H28" s="44"/>
      <c r="I28" s="44"/>
      <c r="J28" s="44">
        <f>constants!C32</f>
        <v>4493.6807614292402</v>
      </c>
      <c r="K28" s="44"/>
      <c r="L28" s="44"/>
      <c r="M28" s="44"/>
      <c r="N28" s="45"/>
      <c r="P28" s="7"/>
      <c r="Q28" s="44" t="s">
        <v>142</v>
      </c>
      <c r="R28" s="44"/>
      <c r="S28" s="44"/>
      <c r="T28" s="44"/>
      <c r="U28" s="44"/>
      <c r="V28" s="44"/>
      <c r="W28" s="44"/>
      <c r="X28" s="44">
        <f>J28/X$20</f>
        <v>2.6999999999999997</v>
      </c>
      <c r="Y28" s="44"/>
      <c r="Z28" s="44"/>
      <c r="AA28" s="45"/>
    </row>
    <row r="30" spans="2:27" ht="17.100000000000001" thickBot="1">
      <c r="H30" s="47"/>
    </row>
    <row r="31" spans="2:27" ht="21.95">
      <c r="B31" s="46" t="s">
        <v>143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2:27">
      <c r="B32" s="6"/>
      <c r="N32" s="10"/>
    </row>
    <row r="33" spans="2:14">
      <c r="B33" s="6"/>
      <c r="E33" t="s">
        <v>106</v>
      </c>
      <c r="F33" t="s">
        <v>107</v>
      </c>
      <c r="G33" t="s">
        <v>108</v>
      </c>
      <c r="H33" t="s">
        <v>17</v>
      </c>
      <c r="I33" t="s">
        <v>21</v>
      </c>
      <c r="J33" t="s">
        <v>27</v>
      </c>
      <c r="K33" t="s">
        <v>109</v>
      </c>
      <c r="L33" t="s">
        <v>33</v>
      </c>
      <c r="M33" t="s">
        <v>39</v>
      </c>
      <c r="N33" s="10"/>
    </row>
    <row r="34" spans="2:14">
      <c r="B34" s="66" t="s">
        <v>110</v>
      </c>
      <c r="C34" s="2"/>
      <c r="D34" s="48" t="s">
        <v>111</v>
      </c>
      <c r="E34" s="48" t="s">
        <v>112</v>
      </c>
      <c r="F34" s="48" t="s">
        <v>113</v>
      </c>
      <c r="G34" s="48" t="s">
        <v>63</v>
      </c>
      <c r="H34" s="48" t="s">
        <v>114</v>
      </c>
      <c r="I34" s="48" t="s">
        <v>115</v>
      </c>
      <c r="J34" s="48" t="s">
        <v>116</v>
      </c>
      <c r="K34" s="48" t="s">
        <v>117</v>
      </c>
      <c r="L34" s="48" t="s">
        <v>118</v>
      </c>
      <c r="M34" s="48" t="s">
        <v>119</v>
      </c>
      <c r="N34" s="49" t="s">
        <v>120</v>
      </c>
    </row>
    <row r="35" spans="2:14">
      <c r="B35" s="6"/>
      <c r="C35" s="2" t="s">
        <v>121</v>
      </c>
      <c r="D35" s="2">
        <f>IF(D5="","",D5*flour_fraction)</f>
        <v>1414.6772767462423</v>
      </c>
      <c r="E35" s="2">
        <f t="shared" ref="E35:M35" si="3">IF(E5="","",E5*flour_fraction)</f>
        <v>-1414.6772767462423</v>
      </c>
      <c r="F35" s="2" t="str">
        <f t="shared" si="3"/>
        <v/>
      </c>
      <c r="G35" s="2" t="str">
        <f t="shared" si="3"/>
        <v/>
      </c>
      <c r="H35" s="2" t="str">
        <f t="shared" si="3"/>
        <v/>
      </c>
      <c r="I35" s="2" t="str">
        <f t="shared" si="3"/>
        <v/>
      </c>
      <c r="J35" s="2" t="str">
        <f t="shared" si="3"/>
        <v/>
      </c>
      <c r="K35" s="2" t="str">
        <f t="shared" si="3"/>
        <v/>
      </c>
      <c r="L35" s="2" t="str">
        <f t="shared" si="3"/>
        <v/>
      </c>
      <c r="M35" s="2" t="str">
        <f t="shared" si="3"/>
        <v/>
      </c>
      <c r="N35" s="43">
        <f t="shared" ref="N35:N48" si="4">SUM(D35:M35)</f>
        <v>0</v>
      </c>
    </row>
    <row r="36" spans="2:14">
      <c r="B36" s="6"/>
      <c r="C36" s="2" t="s">
        <v>122</v>
      </c>
      <c r="D36" s="2" t="str">
        <f t="shared" ref="D36:M36" si="5">IF(D6="","",D6*flour_fraction)</f>
        <v/>
      </c>
      <c r="E36" s="2">
        <f t="shared" si="5"/>
        <v>1414.6772767462423</v>
      </c>
      <c r="F36" s="2">
        <f t="shared" si="5"/>
        <v>-1414.6772767462423</v>
      </c>
      <c r="G36" s="2" t="str">
        <f t="shared" si="5"/>
        <v/>
      </c>
      <c r="H36" s="2" t="str">
        <f t="shared" si="5"/>
        <v/>
      </c>
      <c r="I36" s="2" t="str">
        <f t="shared" si="5"/>
        <v/>
      </c>
      <c r="J36" s="2" t="str">
        <f t="shared" si="5"/>
        <v/>
      </c>
      <c r="K36" s="2" t="str">
        <f t="shared" si="5"/>
        <v/>
      </c>
      <c r="L36" s="2" t="str">
        <f t="shared" si="5"/>
        <v/>
      </c>
      <c r="M36" s="2" t="str">
        <f t="shared" si="5"/>
        <v/>
      </c>
      <c r="N36" s="43">
        <f t="shared" si="4"/>
        <v>0</v>
      </c>
    </row>
    <row r="37" spans="2:14">
      <c r="B37" s="6"/>
      <c r="C37" s="2" t="s">
        <v>123</v>
      </c>
      <c r="D37" s="2" t="str">
        <f t="shared" ref="D37:M37" si="6">IF(D7="","",D7*flour_fraction)</f>
        <v/>
      </c>
      <c r="E37" s="2" t="str">
        <f t="shared" si="6"/>
        <v/>
      </c>
      <c r="F37" s="2">
        <f t="shared" si="6"/>
        <v>1414.6772767462423</v>
      </c>
      <c r="G37" s="2">
        <f t="shared" si="6"/>
        <v>-1414.6772767462423</v>
      </c>
      <c r="H37" s="2" t="str">
        <f t="shared" si="6"/>
        <v/>
      </c>
      <c r="I37" s="2" t="str">
        <f t="shared" si="6"/>
        <v/>
      </c>
      <c r="J37" s="2" t="str">
        <f t="shared" si="6"/>
        <v/>
      </c>
      <c r="K37" s="2" t="str">
        <f t="shared" si="6"/>
        <v/>
      </c>
      <c r="L37" s="2" t="str">
        <f t="shared" si="6"/>
        <v/>
      </c>
      <c r="M37" s="2" t="str">
        <f t="shared" si="6"/>
        <v/>
      </c>
      <c r="N37" s="43">
        <f t="shared" si="4"/>
        <v>0</v>
      </c>
    </row>
    <row r="38" spans="2:14">
      <c r="B38" s="6"/>
      <c r="C38" s="2" t="s">
        <v>124</v>
      </c>
      <c r="D38" s="2" t="str">
        <f t="shared" ref="D38:M38" si="7">IF(D8="","",D8*flour_fraction)</f>
        <v/>
      </c>
      <c r="E38" s="2" t="str">
        <f t="shared" si="7"/>
        <v/>
      </c>
      <c r="F38" s="2" t="str">
        <f t="shared" si="7"/>
        <v/>
      </c>
      <c r="G38" s="2">
        <f t="shared" si="7"/>
        <v>1414.6772767462423</v>
      </c>
      <c r="H38" s="2">
        <f t="shared" si="7"/>
        <v>-1414.6772767462423</v>
      </c>
      <c r="I38" s="2" t="str">
        <f t="shared" si="7"/>
        <v/>
      </c>
      <c r="J38" s="2" t="str">
        <f t="shared" si="7"/>
        <v/>
      </c>
      <c r="K38" s="2" t="str">
        <f t="shared" si="7"/>
        <v/>
      </c>
      <c r="L38" s="2" t="str">
        <f t="shared" si="7"/>
        <v/>
      </c>
      <c r="M38" s="2" t="str">
        <f t="shared" si="7"/>
        <v/>
      </c>
      <c r="N38" s="43">
        <f t="shared" si="4"/>
        <v>0</v>
      </c>
    </row>
    <row r="39" spans="2:14">
      <c r="B39" s="6"/>
      <c r="C39" s="2" t="s">
        <v>59</v>
      </c>
      <c r="D39" s="2" t="str">
        <f t="shared" ref="D39:M39" si="8">IF(D9="","",D9*flour_fraction)</f>
        <v/>
      </c>
      <c r="E39" s="2" t="str">
        <f t="shared" si="8"/>
        <v/>
      </c>
      <c r="F39" s="2" t="str">
        <f t="shared" si="8"/>
        <v/>
      </c>
      <c r="G39" s="2" t="str">
        <f t="shared" si="8"/>
        <v/>
      </c>
      <c r="H39" s="2">
        <f t="shared" si="8"/>
        <v>1414.6772767462423</v>
      </c>
      <c r="I39" s="2">
        <f t="shared" si="8"/>
        <v>-1414.6772767462423</v>
      </c>
      <c r="J39" s="2" t="str">
        <f t="shared" si="8"/>
        <v/>
      </c>
      <c r="K39" s="2" t="str">
        <f t="shared" si="8"/>
        <v/>
      </c>
      <c r="L39" s="2" t="str">
        <f t="shared" si="8"/>
        <v/>
      </c>
      <c r="M39" s="2" t="str">
        <f t="shared" si="8"/>
        <v/>
      </c>
      <c r="N39" s="43">
        <f t="shared" si="4"/>
        <v>0</v>
      </c>
    </row>
    <row r="40" spans="2:14">
      <c r="B40" s="6"/>
      <c r="C40" s="2" t="s">
        <v>126</v>
      </c>
      <c r="D40" s="2" t="str">
        <f t="shared" ref="D40:M40" si="9">IF(D10="","",D10*flour_fraction)</f>
        <v/>
      </c>
      <c r="E40" s="2" t="str">
        <f t="shared" si="9"/>
        <v/>
      </c>
      <c r="F40" s="2" t="str">
        <f t="shared" si="9"/>
        <v/>
      </c>
      <c r="G40" s="2" t="str">
        <f t="shared" si="9"/>
        <v/>
      </c>
      <c r="H40" s="2" t="str">
        <f t="shared" si="9"/>
        <v/>
      </c>
      <c r="I40" s="2">
        <f t="shared" si="9"/>
        <v>1414.6772767462423</v>
      </c>
      <c r="J40" s="2">
        <f t="shared" si="9"/>
        <v>-1414.6772767462423</v>
      </c>
      <c r="K40" s="2" t="str">
        <f t="shared" si="9"/>
        <v/>
      </c>
      <c r="L40" s="2" t="str">
        <f t="shared" si="9"/>
        <v/>
      </c>
      <c r="M40" s="2" t="str">
        <f t="shared" si="9"/>
        <v/>
      </c>
      <c r="N40" s="43">
        <f t="shared" si="4"/>
        <v>0</v>
      </c>
    </row>
    <row r="41" spans="2:14">
      <c r="B41" s="6"/>
      <c r="C41" s="2" t="s">
        <v>127</v>
      </c>
      <c r="D41" s="2" t="str">
        <f t="shared" ref="D41:M41" si="10">IF(D11="","",D11*flour_fraction)</f>
        <v/>
      </c>
      <c r="E41" s="2" t="str">
        <f t="shared" si="10"/>
        <v/>
      </c>
      <c r="F41" s="2" t="str">
        <f t="shared" si="10"/>
        <v/>
      </c>
      <c r="G41" s="2" t="str">
        <f t="shared" si="10"/>
        <v/>
      </c>
      <c r="H41" s="2" t="str">
        <f t="shared" si="10"/>
        <v/>
      </c>
      <c r="I41" s="2" t="str">
        <f t="shared" si="10"/>
        <v/>
      </c>
      <c r="J41" s="2">
        <f t="shared" si="10"/>
        <v>389.03625110521671</v>
      </c>
      <c r="K41" s="2" t="str">
        <f t="shared" si="10"/>
        <v/>
      </c>
      <c r="L41" s="2" t="str">
        <f t="shared" si="10"/>
        <v/>
      </c>
      <c r="M41" s="2" t="str">
        <f t="shared" si="10"/>
        <v/>
      </c>
      <c r="N41" s="43">
        <f t="shared" si="4"/>
        <v>389.03625110521671</v>
      </c>
    </row>
    <row r="42" spans="2:14">
      <c r="B42" s="6"/>
      <c r="C42" s="2" t="s">
        <v>128</v>
      </c>
      <c r="D42" s="2" t="str">
        <f t="shared" ref="D42:M42" si="11">IF(D12="","",D12*flour_fraction)</f>
        <v/>
      </c>
      <c r="E42" s="2" t="str">
        <f t="shared" si="11"/>
        <v/>
      </c>
      <c r="F42" s="2" t="str">
        <f t="shared" si="11"/>
        <v/>
      </c>
      <c r="G42" s="2" t="str">
        <f t="shared" si="11"/>
        <v/>
      </c>
      <c r="H42" s="2" t="str">
        <f t="shared" si="11"/>
        <v/>
      </c>
      <c r="I42" s="2" t="str">
        <f t="shared" si="11"/>
        <v/>
      </c>
      <c r="J42" s="2">
        <f t="shared" si="11"/>
        <v>1025.6410256410256</v>
      </c>
      <c r="K42" s="2">
        <f t="shared" si="11"/>
        <v>-1025.6410256410256</v>
      </c>
      <c r="L42" s="2" t="str">
        <f t="shared" si="11"/>
        <v/>
      </c>
      <c r="M42" s="2" t="str">
        <f t="shared" si="11"/>
        <v/>
      </c>
      <c r="N42" s="43">
        <f t="shared" si="4"/>
        <v>0</v>
      </c>
    </row>
    <row r="43" spans="2:14">
      <c r="B43" s="6"/>
      <c r="C43" s="2" t="s">
        <v>129</v>
      </c>
      <c r="D43" s="2" t="str">
        <f t="shared" ref="D43:J44" si="12">IF(D13="","",D13*flour_fraction)</f>
        <v/>
      </c>
      <c r="E43" s="2" t="str">
        <f t="shared" si="12"/>
        <v/>
      </c>
      <c r="F43" s="2" t="str">
        <f t="shared" si="12"/>
        <v/>
      </c>
      <c r="G43" s="2" t="str">
        <f t="shared" si="12"/>
        <v/>
      </c>
      <c r="H43" s="2" t="str">
        <f t="shared" si="12"/>
        <v/>
      </c>
      <c r="I43" s="2" t="str">
        <f t="shared" si="12"/>
        <v/>
      </c>
      <c r="J43" s="2" t="str">
        <f t="shared" si="12"/>
        <v/>
      </c>
      <c r="K43" s="2">
        <f t="shared" ref="K43:M48" si="13">IF(K13="","",K13)</f>
        <v>1025.6410256410256</v>
      </c>
      <c r="L43" s="2">
        <f t="shared" si="13"/>
        <v>-1025.6410256410256</v>
      </c>
      <c r="M43" s="2" t="str">
        <f t="shared" si="13"/>
        <v/>
      </c>
      <c r="N43" s="43">
        <f t="shared" si="4"/>
        <v>0</v>
      </c>
    </row>
    <row r="44" spans="2:14">
      <c r="B44" s="6"/>
      <c r="C44" s="2" t="s">
        <v>130</v>
      </c>
      <c r="D44" s="2" t="str">
        <f t="shared" si="12"/>
        <v/>
      </c>
      <c r="E44" s="2" t="str">
        <f t="shared" si="12"/>
        <v/>
      </c>
      <c r="F44" s="2" t="str">
        <f t="shared" si="12"/>
        <v/>
      </c>
      <c r="G44" s="2" t="str">
        <f t="shared" si="12"/>
        <v/>
      </c>
      <c r="H44" s="2" t="str">
        <f t="shared" si="12"/>
        <v/>
      </c>
      <c r="I44" s="2" t="str">
        <f t="shared" si="12"/>
        <v/>
      </c>
      <c r="J44" s="2" t="str">
        <f t="shared" si="12"/>
        <v/>
      </c>
      <c r="K44" s="2">
        <f t="shared" si="13"/>
        <v>180.99547511312221</v>
      </c>
      <c r="L44" s="2" t="str">
        <f t="shared" si="13"/>
        <v/>
      </c>
      <c r="M44" s="2" t="str">
        <f t="shared" si="13"/>
        <v/>
      </c>
      <c r="N44" s="43">
        <f t="shared" si="4"/>
        <v>180.99547511312221</v>
      </c>
    </row>
    <row r="45" spans="2:14">
      <c r="B45" s="6"/>
      <c r="C45" s="2" t="s">
        <v>131</v>
      </c>
      <c r="D45" s="2">
        <f>-L45</f>
        <v>7.5528205128205128</v>
      </c>
      <c r="E45" s="2" t="str">
        <f t="shared" ref="E45:J48" si="14">IF(E15="","",E15*flour_fraction)</f>
        <v/>
      </c>
      <c r="F45" s="2" t="str">
        <f t="shared" si="14"/>
        <v/>
      </c>
      <c r="G45" s="2" t="str">
        <f t="shared" si="14"/>
        <v/>
      </c>
      <c r="H45" s="2" t="str">
        <f t="shared" si="14"/>
        <v/>
      </c>
      <c r="I45" s="2" t="str">
        <f t="shared" si="14"/>
        <v/>
      </c>
      <c r="J45" s="2" t="str">
        <f t="shared" si="14"/>
        <v/>
      </c>
      <c r="K45" s="2" t="str">
        <f t="shared" si="13"/>
        <v/>
      </c>
      <c r="L45" s="2">
        <f t="shared" si="13"/>
        <v>-7.5528205128205128</v>
      </c>
      <c r="M45" s="2" t="str">
        <f t="shared" si="13"/>
        <v/>
      </c>
      <c r="N45" s="43">
        <f t="shared" si="4"/>
        <v>0</v>
      </c>
    </row>
    <row r="46" spans="2:14">
      <c r="B46" s="6"/>
      <c r="C46" s="2" t="s">
        <v>132</v>
      </c>
      <c r="D46" s="2" t="str">
        <f>IF(D16="","",D16*flour_fraction)</f>
        <v/>
      </c>
      <c r="E46" s="2" t="str">
        <f t="shared" si="14"/>
        <v/>
      </c>
      <c r="F46" s="2" t="str">
        <f t="shared" si="14"/>
        <v/>
      </c>
      <c r="G46" s="2" t="str">
        <f t="shared" si="14"/>
        <v/>
      </c>
      <c r="H46" s="2" t="str">
        <f t="shared" si="14"/>
        <v/>
      </c>
      <c r="I46" s="2" t="str">
        <f t="shared" si="14"/>
        <v/>
      </c>
      <c r="J46" s="2" t="str">
        <f t="shared" si="14"/>
        <v/>
      </c>
      <c r="K46" s="2" t="str">
        <f t="shared" si="13"/>
        <v/>
      </c>
      <c r="L46" s="2">
        <f t="shared" si="13"/>
        <v>1033.1938461538462</v>
      </c>
      <c r="M46" s="2">
        <f t="shared" si="13"/>
        <v>-1033.1938461538462</v>
      </c>
      <c r="N46" s="43">
        <f t="shared" si="4"/>
        <v>0</v>
      </c>
    </row>
    <row r="47" spans="2:14">
      <c r="B47" s="6"/>
      <c r="C47" s="2" t="s">
        <v>133</v>
      </c>
      <c r="D47" s="2" t="str">
        <f>IF(D17="","",D17*flour_fraction)</f>
        <v/>
      </c>
      <c r="E47" s="2" t="str">
        <f t="shared" si="14"/>
        <v/>
      </c>
      <c r="F47" s="2" t="str">
        <f t="shared" si="14"/>
        <v/>
      </c>
      <c r="G47" s="2" t="str">
        <f t="shared" si="14"/>
        <v/>
      </c>
      <c r="H47" s="2" t="str">
        <f t="shared" si="14"/>
        <v/>
      </c>
      <c r="I47" s="2" t="str">
        <f t="shared" si="14"/>
        <v/>
      </c>
      <c r="J47" s="2" t="str">
        <f t="shared" si="14"/>
        <v/>
      </c>
      <c r="K47" s="2" t="str">
        <f t="shared" si="13"/>
        <v/>
      </c>
      <c r="L47" s="2" t="str">
        <f t="shared" si="13"/>
        <v/>
      </c>
      <c r="M47" s="2">
        <f t="shared" si="13"/>
        <v>25.829846153846155</v>
      </c>
      <c r="N47" s="43">
        <f t="shared" si="4"/>
        <v>25.829846153846155</v>
      </c>
    </row>
    <row r="48" spans="2:14" ht="17.100000000000001" thickBot="1">
      <c r="B48" s="7"/>
      <c r="C48" s="44" t="s">
        <v>134</v>
      </c>
      <c r="D48" s="44" t="str">
        <f>IF(D18="","",D18*flour_fraction)</f>
        <v/>
      </c>
      <c r="E48" s="44" t="str">
        <f t="shared" si="14"/>
        <v/>
      </c>
      <c r="F48" s="44" t="str">
        <f t="shared" si="14"/>
        <v/>
      </c>
      <c r="G48" s="44" t="str">
        <f t="shared" si="14"/>
        <v/>
      </c>
      <c r="H48" s="44" t="str">
        <f t="shared" si="14"/>
        <v/>
      </c>
      <c r="I48" s="44" t="str">
        <f t="shared" si="14"/>
        <v/>
      </c>
      <c r="J48" s="44" t="str">
        <f t="shared" si="14"/>
        <v/>
      </c>
      <c r="K48" s="44" t="str">
        <f t="shared" si="13"/>
        <v/>
      </c>
      <c r="L48" s="44" t="str">
        <f t="shared" si="13"/>
        <v/>
      </c>
      <c r="M48" s="44">
        <f t="shared" si="13"/>
        <v>1007.364</v>
      </c>
      <c r="N48" s="45">
        <f t="shared" si="4"/>
        <v>1007.364</v>
      </c>
    </row>
    <row r="51" spans="6:6">
      <c r="F51">
        <f>F37/F7</f>
        <v>0.85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0811-14C4-404B-BF15-9CBC24798103}">
  <dimension ref="B1:H27"/>
  <sheetViews>
    <sheetView workbookViewId="0">
      <selection activeCell="J18" sqref="J18"/>
    </sheetView>
  </sheetViews>
  <sheetFormatPr defaultColWidth="11" defaultRowHeight="15.95"/>
  <cols>
    <col min="3" max="3" width="31.875" customWidth="1"/>
    <col min="7" max="7" width="19.125" customWidth="1"/>
    <col min="8" max="8" width="15.875" customWidth="1"/>
  </cols>
  <sheetData>
    <row r="1" spans="2:8" ht="17.100000000000001" thickBot="1"/>
    <row r="2" spans="2:8" ht="21.95">
      <c r="B2" s="46" t="s">
        <v>103</v>
      </c>
      <c r="C2" s="4"/>
      <c r="D2" s="63" t="s">
        <v>104</v>
      </c>
      <c r="E2" s="4"/>
      <c r="F2" s="4"/>
      <c r="G2" s="4"/>
      <c r="H2" s="5"/>
    </row>
    <row r="3" spans="2:8">
      <c r="B3" s="6"/>
      <c r="E3" t="s">
        <v>144</v>
      </c>
      <c r="F3" t="s">
        <v>145</v>
      </c>
      <c r="G3" t="s">
        <v>146</v>
      </c>
      <c r="H3" s="10"/>
    </row>
    <row r="4" spans="2:8">
      <c r="B4" s="66" t="s">
        <v>110</v>
      </c>
      <c r="D4" s="65" t="s">
        <v>111</v>
      </c>
      <c r="E4" s="65" t="s">
        <v>112</v>
      </c>
      <c r="F4" s="65" t="s">
        <v>113</v>
      </c>
      <c r="G4" s="65" t="s">
        <v>63</v>
      </c>
      <c r="H4" s="50" t="s">
        <v>120</v>
      </c>
    </row>
    <row r="5" spans="2:8">
      <c r="B5" s="6"/>
      <c r="C5" t="s">
        <v>147</v>
      </c>
      <c r="D5" s="65">
        <f>-E5</f>
        <v>1282.0512820512822</v>
      </c>
      <c r="E5" s="65">
        <f>-E6</f>
        <v>-1282.0512820512822</v>
      </c>
      <c r="F5" s="65"/>
      <c r="G5" s="65"/>
      <c r="H5" s="50">
        <f>SUM(D5:G5)</f>
        <v>0</v>
      </c>
    </row>
    <row r="6" spans="2:8">
      <c r="B6" s="6"/>
      <c r="C6" t="s">
        <v>148</v>
      </c>
      <c r="D6" s="65"/>
      <c r="E6" s="65">
        <f>-F6</f>
        <v>1282.0512820512822</v>
      </c>
      <c r="F6" s="65">
        <f>-F8/constants!C37</f>
        <v>-1282.0512820512822</v>
      </c>
      <c r="G6" s="65"/>
      <c r="H6" s="50">
        <f t="shared" ref="H6:H10" si="0">SUM(D6:G6)</f>
        <v>0</v>
      </c>
    </row>
    <row r="7" spans="2:8">
      <c r="B7" s="6"/>
      <c r="C7" t="s">
        <v>149</v>
      </c>
      <c r="D7" s="65"/>
      <c r="E7" s="65"/>
      <c r="F7" s="65">
        <f>-(F8+F6)</f>
        <v>282.0512820512821</v>
      </c>
      <c r="G7" s="65"/>
      <c r="H7" s="50">
        <f t="shared" si="0"/>
        <v>282.0512820512821</v>
      </c>
    </row>
    <row r="8" spans="2:8">
      <c r="B8" s="6"/>
      <c r="C8" t="s">
        <v>71</v>
      </c>
      <c r="D8" s="65"/>
      <c r="E8" s="65"/>
      <c r="F8" s="65">
        <f>-G8</f>
        <v>1000.0000000000001</v>
      </c>
      <c r="G8" s="65">
        <f>-G10/(1+constants!C22/1000)</f>
        <v>-1000.0000000000001</v>
      </c>
      <c r="H8" s="50">
        <f t="shared" si="0"/>
        <v>0</v>
      </c>
    </row>
    <row r="9" spans="2:8">
      <c r="B9" s="6"/>
      <c r="C9" t="s">
        <v>65</v>
      </c>
      <c r="D9" s="65">
        <f>-G9</f>
        <v>7.3640000000000008</v>
      </c>
      <c r="E9" s="65"/>
      <c r="F9" s="65"/>
      <c r="G9" s="68">
        <f>-F8*constants!C22/1000</f>
        <v>-7.3640000000000008</v>
      </c>
      <c r="H9" s="50">
        <f t="shared" si="0"/>
        <v>0</v>
      </c>
    </row>
    <row r="10" spans="2:8">
      <c r="B10" s="6"/>
      <c r="C10" t="s">
        <v>150</v>
      </c>
      <c r="D10" s="65"/>
      <c r="E10" s="65"/>
      <c r="F10" s="65"/>
      <c r="G10" s="68">
        <f>constants!C3*constants!C22/1000 + constants!C3</f>
        <v>1007.364</v>
      </c>
      <c r="H10" s="50">
        <f t="shared" si="0"/>
        <v>1007.364</v>
      </c>
    </row>
    <row r="11" spans="2:8">
      <c r="B11" s="6"/>
      <c r="D11" s="65"/>
      <c r="E11" s="65"/>
      <c r="F11" s="65"/>
      <c r="G11" s="65"/>
      <c r="H11" s="50"/>
    </row>
    <row r="12" spans="2:8">
      <c r="B12" s="6"/>
      <c r="C12" t="s">
        <v>135</v>
      </c>
      <c r="D12" s="65">
        <f>SUM(D5:D10)</f>
        <v>1289.4152820512822</v>
      </c>
      <c r="E12" s="65">
        <f t="shared" ref="E12:H12" si="1">SUM(E5:E10)</f>
        <v>0</v>
      </c>
      <c r="F12" s="65">
        <f t="shared" si="1"/>
        <v>0</v>
      </c>
      <c r="G12" s="65">
        <f t="shared" si="1"/>
        <v>0</v>
      </c>
      <c r="H12" s="50">
        <f t="shared" si="1"/>
        <v>1289.4152820512822</v>
      </c>
    </row>
    <row r="13" spans="2:8" ht="17.100000000000001" thickBot="1">
      <c r="B13" s="7"/>
      <c r="C13" s="8"/>
      <c r="D13" s="69"/>
      <c r="E13" s="69"/>
      <c r="F13" s="69"/>
      <c r="G13" s="69"/>
      <c r="H13" s="70"/>
    </row>
    <row r="14" spans="2:8">
      <c r="D14" s="65"/>
      <c r="E14" s="65"/>
      <c r="F14" s="65"/>
      <c r="G14" s="65"/>
      <c r="H14" s="65"/>
    </row>
    <row r="15" spans="2:8">
      <c r="D15" s="65"/>
      <c r="E15" s="65"/>
      <c r="F15" s="65"/>
      <c r="G15" s="65"/>
      <c r="H15" s="65"/>
    </row>
    <row r="16" spans="2:8" ht="17.100000000000001" thickBot="1">
      <c r="D16" s="65"/>
      <c r="E16" s="65"/>
      <c r="F16" s="65"/>
      <c r="G16" s="65"/>
      <c r="H16" s="65"/>
    </row>
    <row r="17" spans="2:8" ht="21.95">
      <c r="B17" s="46" t="s">
        <v>143</v>
      </c>
      <c r="C17" s="4"/>
      <c r="D17" s="63" t="s">
        <v>104</v>
      </c>
      <c r="E17" s="4"/>
      <c r="F17" s="4"/>
      <c r="G17" s="4"/>
      <c r="H17" s="5"/>
    </row>
    <row r="18" spans="2:8">
      <c r="B18" s="6"/>
      <c r="E18" t="s">
        <v>144</v>
      </c>
      <c r="F18" t="s">
        <v>145</v>
      </c>
      <c r="G18" t="s">
        <v>146</v>
      </c>
      <c r="H18" s="10"/>
    </row>
    <row r="19" spans="2:8">
      <c r="B19" s="66" t="s">
        <v>110</v>
      </c>
      <c r="D19" s="65" t="s">
        <v>111</v>
      </c>
      <c r="E19" s="65" t="s">
        <v>112</v>
      </c>
      <c r="F19" s="65" t="s">
        <v>113</v>
      </c>
      <c r="G19" s="65" t="s">
        <v>63</v>
      </c>
      <c r="H19" s="50" t="s">
        <v>120</v>
      </c>
    </row>
    <row r="20" spans="2:8">
      <c r="B20" s="6"/>
      <c r="C20" t="s">
        <v>147</v>
      </c>
      <c r="D20" s="65">
        <f>IF(D5="","",D5*constants!$C$37)</f>
        <v>1000.0000000000001</v>
      </c>
      <c r="E20" s="65">
        <f>IF(E5="","",E5*constants!$C$37)</f>
        <v>-1000.0000000000001</v>
      </c>
      <c r="F20" s="65" t="str">
        <f>IF(F5="","",F5)</f>
        <v/>
      </c>
      <c r="G20" s="65" t="str">
        <f>IF(G5="","",G5)</f>
        <v/>
      </c>
      <c r="H20" s="50">
        <f>SUM(D20:G20)</f>
        <v>0</v>
      </c>
    </row>
    <row r="21" spans="2:8">
      <c r="B21" s="6"/>
      <c r="C21" t="s">
        <v>148</v>
      </c>
      <c r="D21" s="65"/>
      <c r="E21" s="65">
        <f>IF(E6="","",E6*constants!$C$37)</f>
        <v>1000.0000000000001</v>
      </c>
      <c r="F21" s="65">
        <f t="shared" ref="F21:G26" si="2">IF(F6="","",F6)</f>
        <v>-1282.0512820512822</v>
      </c>
      <c r="G21" s="65" t="str">
        <f t="shared" si="2"/>
        <v/>
      </c>
      <c r="H21" s="50">
        <f t="shared" ref="H21:H25" si="3">SUM(D21:G21)</f>
        <v>-282.0512820512821</v>
      </c>
    </row>
    <row r="22" spans="2:8">
      <c r="B22" s="6"/>
      <c r="C22" t="s">
        <v>149</v>
      </c>
      <c r="D22" s="65"/>
      <c r="E22" s="65" t="str">
        <f>IF(E7="","",E7*constants!$C$37)</f>
        <v/>
      </c>
      <c r="F22" s="65">
        <f t="shared" si="2"/>
        <v>282.0512820512821</v>
      </c>
      <c r="G22" s="65" t="str">
        <f t="shared" si="2"/>
        <v/>
      </c>
      <c r="H22" s="50">
        <f t="shared" si="3"/>
        <v>282.0512820512821</v>
      </c>
    </row>
    <row r="23" spans="2:8">
      <c r="B23" s="6"/>
      <c r="C23" t="s">
        <v>71</v>
      </c>
      <c r="D23" s="65"/>
      <c r="E23" s="65" t="str">
        <f>IF(E8="","",E8*constants!$C$37)</f>
        <v/>
      </c>
      <c r="F23" s="65">
        <f t="shared" si="2"/>
        <v>1000.0000000000001</v>
      </c>
      <c r="G23" s="65">
        <f t="shared" si="2"/>
        <v>-1000.0000000000001</v>
      </c>
      <c r="H23" s="50">
        <f t="shared" si="3"/>
        <v>0</v>
      </c>
    </row>
    <row r="24" spans="2:8">
      <c r="B24" s="6"/>
      <c r="C24" t="s">
        <v>65</v>
      </c>
      <c r="D24" s="65">
        <f>-G24</f>
        <v>7.3640000000000008</v>
      </c>
      <c r="E24" s="65" t="str">
        <f>IF(E9="","",E9*constants!$C$37)</f>
        <v/>
      </c>
      <c r="F24" s="65" t="str">
        <f t="shared" si="2"/>
        <v/>
      </c>
      <c r="G24" s="65">
        <f t="shared" si="2"/>
        <v>-7.3640000000000008</v>
      </c>
      <c r="H24" s="50">
        <f t="shared" si="3"/>
        <v>0</v>
      </c>
    </row>
    <row r="25" spans="2:8">
      <c r="B25" s="6"/>
      <c r="C25" t="s">
        <v>150</v>
      </c>
      <c r="D25" s="65"/>
      <c r="E25" s="65" t="str">
        <f>IF(E10="","",E10*constants!$C$37)</f>
        <v/>
      </c>
      <c r="F25" s="65" t="str">
        <f t="shared" si="2"/>
        <v/>
      </c>
      <c r="G25" s="65">
        <f t="shared" si="2"/>
        <v>1007.364</v>
      </c>
      <c r="H25" s="50">
        <f t="shared" si="3"/>
        <v>1007.364</v>
      </c>
    </row>
    <row r="26" spans="2:8">
      <c r="B26" s="6"/>
      <c r="D26" s="65"/>
      <c r="E26" s="65"/>
      <c r="F26" s="65" t="str">
        <f t="shared" si="2"/>
        <v/>
      </c>
      <c r="G26" s="65"/>
      <c r="H26" s="50"/>
    </row>
    <row r="27" spans="2:8" ht="17.100000000000001" thickBot="1">
      <c r="B27" s="7"/>
      <c r="C27" s="8" t="s">
        <v>135</v>
      </c>
      <c r="D27" s="69">
        <f>SUM(D20:D25)</f>
        <v>1007.3640000000001</v>
      </c>
      <c r="E27" s="69">
        <f t="shared" ref="E27:H27" si="4">SUM(E20:E25)</f>
        <v>0</v>
      </c>
      <c r="F27" s="69">
        <f t="shared" si="4"/>
        <v>0</v>
      </c>
      <c r="G27" s="69">
        <f t="shared" si="4"/>
        <v>0</v>
      </c>
      <c r="H27" s="70">
        <f t="shared" si="4"/>
        <v>1007.364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Glasker</dc:creator>
  <cp:keywords/>
  <dc:description/>
  <cp:lastModifiedBy>Steven Glasker</cp:lastModifiedBy>
  <cp:revision/>
  <dcterms:created xsi:type="dcterms:W3CDTF">2025-09-24T04:47:19Z</dcterms:created>
  <dcterms:modified xsi:type="dcterms:W3CDTF">2025-11-05T00:12:04Z</dcterms:modified>
  <cp:category/>
  <cp:contentStatus/>
</cp:coreProperties>
</file>